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5480" windowHeight="11640" activeTab="2"/>
  </bookViews>
  <sheets>
    <sheet name="2015 su media triennio" sheetId="1" r:id="rId1"/>
    <sheet name="2016 su media triennio" sheetId="2" r:id="rId2"/>
    <sheet name="2017 su media triennio da ver" sheetId="3" r:id="rId3"/>
  </sheets>
  <definedNames>
    <definedName name="_xlnm.Print_Area" localSheetId="0">'2015 su media triennio'!$A$1:$U$80</definedName>
    <definedName name="_xlnm.Print_Area" localSheetId="1">'2016 su media triennio'!$A$1:$U$74</definedName>
    <definedName name="_xlnm.Print_Area" localSheetId="2">'2017 su media triennio da ver'!$A$1:$U$74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<sst xmlns="http://schemas.openxmlformats.org/spreadsheetml/2006/main" count="512" uniqueCount="145">
  <si>
    <t>istruttore tecnico - Atzeni (categoria protetta da novembre 2013)</t>
  </si>
  <si>
    <t>istruttore dir. socio-assist. tempo indeterminato -tempo pieno  De Blasi</t>
  </si>
  <si>
    <t xml:space="preserve">Istruttore vigilanza tempo determinato (a carico piano occupazione 100%) </t>
  </si>
  <si>
    <t>istruttore direttivo ingegnere-  (a carico piano occupazione 100%)</t>
  </si>
  <si>
    <t>Istruttore amminitrativo tempo determinato a carico piano occupazione 100%) -</t>
  </si>
  <si>
    <t>isruttore direttivo ingegnere (a carico piano occupazione 100%)-</t>
  </si>
  <si>
    <t>Istruttore amministrativo tempo determinato (a carico piano occupazione 100%) -</t>
  </si>
  <si>
    <t>1030105/2+1030101/5+1030101/6+1030107/3</t>
  </si>
  <si>
    <t>cococo museo</t>
  </si>
  <si>
    <t>spesa per il personale 2015 depurata delle quote in detrazione</t>
  </si>
  <si>
    <t>differenza fra spesa sostenuta nel 2014 e spesa prevista nel 2015</t>
  </si>
  <si>
    <t xml:space="preserve">spese di personale da detrarre </t>
  </si>
  <si>
    <t>spesa per il personale 2015  al lordo del risparmio IRAP</t>
  </si>
  <si>
    <t>istruttore vigilanza a tempo determinato dal 01/01/2015 al 31/05/2015 30 ore</t>
  </si>
  <si>
    <t>tabellare + IIS + ind.vig. dal 01.01.2009</t>
  </si>
  <si>
    <t xml:space="preserve">STANZIAMENTI DI SPESA PER IL PERSONALE ANNO 2015 (su ultimo tabellare 2009) </t>
  </si>
  <si>
    <t>ISTRUTTORE DIRETTIVO TECNICO 4 MESI 18 ORE (01/01/2015-30/04/2014)</t>
  </si>
  <si>
    <t>Istruttore amministrativo a tempo determinato dal 01/01/2015 al 31/05/2015 24 ore</t>
  </si>
  <si>
    <t>incentivi progettazioneprevisti nel fondo</t>
  </si>
  <si>
    <t>istat</t>
  </si>
  <si>
    <t>vigili in prestito da altri enti (interv 05 e 01)</t>
  </si>
  <si>
    <t>quota segretario comunale Demartis (a carico Comune di Mogoro 50%) sono sino a maggio 2015</t>
  </si>
  <si>
    <t>segretario comunale - Demartis maggiorazione 50% solo sino a maggio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</si>
  <si>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</si>
  <si>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Istruttore amministrativo - Caria</t>
  </si>
  <si>
    <t>assegni al nucleo (Caria, Figus, Garau, Melis, Piga, Piras, Pilloni)</t>
  </si>
  <si>
    <t>Anno 2015: Caria € 97,98, Figus € 43,79, Garau € 49,93, Melis € 410,36, Piga € 76,21, Pilloni € 77,83, Piras € 125,08 da rivedere al 01/07/2015</t>
  </si>
  <si>
    <t>da rivedere a luglio 2015</t>
  </si>
  <si>
    <t xml:space="preserve">intervento 01 (contributi) </t>
  </si>
  <si>
    <t>IRAP (8,5%)</t>
  </si>
  <si>
    <t>spesa per il personale 2016 depurata delle quote in detrazione</t>
  </si>
  <si>
    <t xml:space="preserve">esecutore amministrativo - </t>
  </si>
  <si>
    <t>ind. Vigilanza e altre indennità</t>
  </si>
  <si>
    <t>risorse decentrate 2015 (depurate dalle quote per progressioni orizzontali e comparto in godimento)</t>
  </si>
  <si>
    <t>quota stipendio responsabile vigilanza Lombardo (a carico convenzione Unione Comuni 30,56%) sino al 31/12/2015</t>
  </si>
  <si>
    <t>risorse decentrate 2016 (depurate dalle quote per progressioni orizzontali e comparto in godimento)</t>
  </si>
  <si>
    <t>sulla retribuzione del segretario non si paga inail</t>
  </si>
  <si>
    <t xml:space="preserve">STANZIAMENTI DI SPESA PER IL PERSONALE ANNO 2017 (su ultimo tabellare 2009) </t>
  </si>
  <si>
    <t>risultato segretario</t>
  </si>
  <si>
    <t xml:space="preserve">retrib. Posizione </t>
  </si>
  <si>
    <t>segretario comunale - Demartis maggiorazioni sino a maggio</t>
  </si>
  <si>
    <t>segretario comunale - Demartis (in convenzione sino a maggio 2015)</t>
  </si>
  <si>
    <t xml:space="preserve">segretario comunale -  maggiorazioni </t>
  </si>
  <si>
    <t>istruttore vigilanza part time 18 h</t>
  </si>
  <si>
    <t>(differenza Irap da 8,50% a 2,55%) dal 01.01.2015 8,5% L.R.5/2015</t>
  </si>
  <si>
    <t>istruttore vigilanza part time 18 h (dal 01/07/2015)</t>
  </si>
  <si>
    <t>straordinario elettoriale fondi bilancio</t>
  </si>
  <si>
    <t>ALLEGATO 6B DET 38/2015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</si>
  <si>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</si>
  <si>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CONTR. PREVID.</t>
  </si>
  <si>
    <t>TOTALE CONTR.</t>
  </si>
  <si>
    <t>totale spese di personale da detrarre</t>
  </si>
  <si>
    <t>istruttore dir. tecnico - Figus</t>
  </si>
  <si>
    <t>esecutore tecnico - Meli</t>
  </si>
  <si>
    <t>13a mensilità</t>
  </si>
  <si>
    <t>D3</t>
  </si>
  <si>
    <t>Istruttore amministrativo - Melis</t>
  </si>
  <si>
    <t>B3</t>
  </si>
  <si>
    <t>esecutore contabile - Cossa</t>
  </si>
  <si>
    <t>istruttore tecnico - Piga</t>
  </si>
  <si>
    <t>istruttore tecnico - Piras</t>
  </si>
  <si>
    <t>istruttore tecnico - Musinu</t>
  </si>
  <si>
    <t>B4</t>
  </si>
  <si>
    <t>A2</t>
  </si>
  <si>
    <t>totali</t>
  </si>
  <si>
    <t>esecutore amministrativo - Perra</t>
  </si>
  <si>
    <t>istruttore dir. socio-assist. - Serra</t>
  </si>
  <si>
    <t>R.I.A.</t>
  </si>
  <si>
    <t>DIPENDENTI</t>
  </si>
  <si>
    <t>CAT.</t>
  </si>
  <si>
    <t>PREMI I.N.A.I.L.</t>
  </si>
  <si>
    <t>D1</t>
  </si>
  <si>
    <t>TOTALE SPESA</t>
  </si>
  <si>
    <t>TOTALE RETRIBUZ.</t>
  </si>
  <si>
    <t>C1</t>
  </si>
  <si>
    <t>C2</t>
  </si>
  <si>
    <t xml:space="preserve">                                                                                                                                                           </t>
  </si>
  <si>
    <t>Indennità di comparto</t>
  </si>
  <si>
    <t>IRAP</t>
  </si>
  <si>
    <t>D2</t>
  </si>
  <si>
    <t>B2</t>
  </si>
  <si>
    <t>fascia B</t>
  </si>
  <si>
    <t>esecutore amministrativo - Coghe</t>
  </si>
  <si>
    <t>esecutore tecnico - Diana</t>
  </si>
  <si>
    <t>esecutore tecnico - Casula</t>
  </si>
  <si>
    <t>operatore tecnico - Scanu</t>
  </si>
  <si>
    <t>Istruttore direttivo amm.- cont. - Abis (indennità posizione)</t>
  </si>
  <si>
    <t>istruttore dir. socio-assist. - Serra- Ind Posizione</t>
  </si>
  <si>
    <t>da contabilizzare:</t>
  </si>
  <si>
    <t>buoni pasto 1010203/2</t>
  </si>
  <si>
    <t>C5</t>
  </si>
  <si>
    <t xml:space="preserve">collaboratore prof. amm.vo - Marcomini </t>
  </si>
  <si>
    <t>C3</t>
  </si>
  <si>
    <t xml:space="preserve"> maggiorazione 25%</t>
  </si>
  <si>
    <t>maggiorazione  posizione 50% (compreso rateo 13^)</t>
  </si>
  <si>
    <t>CONTR. T.F.S./R.</t>
  </si>
  <si>
    <t xml:space="preserve">totale spese di personale </t>
  </si>
  <si>
    <t>Istruttore direttivo amm.- cont. - Spiga (indennità posizione)</t>
  </si>
  <si>
    <t>Istruttore dir. vigilanza - Lombardo (Ind. Posizione vigilanza)</t>
  </si>
  <si>
    <t>quota indennità responsabile vigilanza Lombardo (a carico convenzione Unione Comuni 30,56%)</t>
  </si>
  <si>
    <t>istruttore dir. tecnico - Figus (ind. Posizione)</t>
  </si>
  <si>
    <t>Istruttore amministrativo - (Caria)</t>
  </si>
  <si>
    <t>Istruttore direttivo contabile - Spiga</t>
  </si>
  <si>
    <t xml:space="preserve">Istruttore direttivo amm. - Abis </t>
  </si>
  <si>
    <t>totale intervento 01</t>
  </si>
  <si>
    <t>totale intervento 03</t>
  </si>
  <si>
    <t>totale intervento 07</t>
  </si>
  <si>
    <t>componenti escluse</t>
  </si>
  <si>
    <t>totale spese nette</t>
  </si>
  <si>
    <t>totale spese lorde</t>
  </si>
  <si>
    <t>spese coordinatore life</t>
  </si>
  <si>
    <t>intervento 01</t>
  </si>
  <si>
    <t>intervento 07</t>
  </si>
  <si>
    <t>totale netto</t>
  </si>
  <si>
    <t xml:space="preserve">diritti di rogito </t>
  </si>
  <si>
    <t>CONTRIB. CPDEL</t>
  </si>
  <si>
    <t xml:space="preserve">CONTRIB. T.F.S.        </t>
  </si>
  <si>
    <t>TOTALE CONTR.TI</t>
  </si>
  <si>
    <t>rogito</t>
  </si>
  <si>
    <t>totale rogito</t>
  </si>
  <si>
    <t>totale intervento 01 (aggiungi rogito)</t>
  </si>
  <si>
    <t>totale intervento 07 (aggiungi rogito)</t>
  </si>
  <si>
    <t>mogoro</t>
  </si>
  <si>
    <t>segretario comunale - Demartis (in convenzione)</t>
  </si>
  <si>
    <t>Istruttore dir. Vigilanza-SUAP - Lombardo (25 ore vigilanza e 11 SUAP)</t>
  </si>
  <si>
    <t xml:space="preserve">turni festivi vigili (a carico piano occupazione 100%) </t>
  </si>
  <si>
    <t xml:space="preserve">  </t>
  </si>
  <si>
    <t>ho considerato la retribuzione di posizione come tabellare del 2008, ossia 10.845,60</t>
  </si>
  <si>
    <t>Assegno personam</t>
  </si>
  <si>
    <t xml:space="preserve">Istruttore vigilanza tempo determinato (a carico piano occupazione 100%) - </t>
  </si>
  <si>
    <t>Istruttore vigilanza tempo determinato  (a carico piano occupazione 100%) -</t>
  </si>
  <si>
    <t>Istruttore contabile - Pilloni</t>
  </si>
  <si>
    <t>Istruttore amministrativo tempo parziale 32 ore - Garau</t>
  </si>
  <si>
    <t>IVC</t>
  </si>
  <si>
    <t>sul salario accessorio non si paga l'inadel</t>
  </si>
  <si>
    <t>inps</t>
  </si>
  <si>
    <t>spesa massima consentita (triennio 2011/2013)</t>
  </si>
  <si>
    <t>missioni +formazione</t>
  </si>
  <si>
    <t>missioni+formazione</t>
  </si>
  <si>
    <t>straordinario elettorale rimborsato</t>
  </si>
  <si>
    <t>irap incentivi</t>
  </si>
  <si>
    <t xml:space="preserve">STANZIAMENTI DI SPESA PER IL PERSONALE ANNO 2016 (su ultimo tabellare 2009) </t>
  </si>
  <si>
    <t>segretario comunale - rogito+risultato</t>
  </si>
  <si>
    <t>retrib. Posizione + risultato responsabili</t>
  </si>
  <si>
    <t>differenza fra spesa sostenuta nel triennio 2011/2013 e spesa prevista nel 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</si>
</sst>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0.000"/>
    <numFmt numFmtId="180" formatCode="0.0"/>
    <numFmt numFmtId="181" formatCode="#,##0_ ;\-#,##0\ "/>
    <numFmt numFmtId="182" formatCode="0.000000"/>
    <numFmt numFmtId="183" formatCode="0.00000"/>
    <numFmt numFmtId="184" formatCode="0.0000"/>
    <numFmt numFmtId="185" formatCode="_-* #,##0.0000_-;\-* #,##0.0000_-;_-* &quot;-&quot;??_-;_-@_-"/>
    <numFmt numFmtId="186" formatCode="[$-410]dddd\ d\ mmmm\ yyyy"/>
    <numFmt numFmtId="187" formatCode="h\.mm\.ss"/>
  </numFmts>
  <fonts count="3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2" borderId="1" applyNumberFormat="0" applyAlignment="0" applyProtection="0"/>
    <xf numFmtId="0" fontId="16" fillId="0" borderId="2" applyNumberFormat="0" applyFill="0" applyAlignment="0" applyProtection="0"/>
    <xf numFmtId="0" fontId="17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0" fontId="20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2" fillId="0" borderId="10" xfId="46" applyFont="1" applyFill="1" applyBorder="1" applyAlignment="1">
      <alignment horizontal="right" vertical="center"/>
    </xf>
    <xf numFmtId="41" fontId="2" fillId="17" borderId="10" xfId="46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7" fontId="2" fillId="0" borderId="10" xfId="46" applyNumberFormat="1" applyFont="1" applyFill="1" applyBorder="1" applyAlignment="1">
      <alignment horizontal="right" vertical="center"/>
    </xf>
    <xf numFmtId="37" fontId="2" fillId="17" borderId="10" xfId="46" applyNumberFormat="1" applyFont="1" applyFill="1" applyBorder="1" applyAlignment="1">
      <alignment horizontal="right" vertical="center"/>
    </xf>
    <xf numFmtId="37" fontId="2" fillId="0" borderId="10" xfId="45" applyNumberFormat="1" applyFont="1" applyFill="1" applyBorder="1" applyAlignment="1">
      <alignment horizontal="right" vertical="center" wrapText="1"/>
    </xf>
    <xf numFmtId="0" fontId="2" fillId="17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41" fontId="2" fillId="0" borderId="10" xfId="46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1" fontId="2" fillId="17" borderId="10" xfId="46" applyFont="1" applyFill="1" applyBorder="1" applyAlignment="1">
      <alignment horizontal="center" vertical="center"/>
    </xf>
    <xf numFmtId="41" fontId="2" fillId="17" borderId="10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right" vertical="center"/>
    </xf>
    <xf numFmtId="37" fontId="2" fillId="17" borderId="10" xfId="0" applyNumberFormat="1" applyFont="1" applyFill="1" applyBorder="1" applyAlignment="1">
      <alignment horizontal="right" vertical="center" wrapText="1"/>
    </xf>
    <xf numFmtId="37" fontId="2" fillId="17" borderId="12" xfId="0" applyNumberFormat="1" applyFont="1" applyFill="1" applyBorder="1" applyAlignment="1">
      <alignment horizontal="right" vertical="center" wrapText="1"/>
    </xf>
    <xf numFmtId="0" fontId="0" fillId="18" borderId="10" xfId="0" applyFill="1" applyBorder="1" applyAlignment="1">
      <alignment/>
    </xf>
    <xf numFmtId="0" fontId="2" fillId="18" borderId="10" xfId="0" applyFont="1" applyFill="1" applyBorder="1" applyAlignment="1">
      <alignment/>
    </xf>
    <xf numFmtId="37" fontId="2" fillId="19" borderId="10" xfId="46" applyNumberFormat="1" applyFont="1" applyFill="1" applyBorder="1" applyAlignment="1">
      <alignment horizontal="right" vertical="center"/>
    </xf>
    <xf numFmtId="37" fontId="2" fillId="18" borderId="10" xfId="0" applyNumberFormat="1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right" vertical="center"/>
    </xf>
    <xf numFmtId="37" fontId="2" fillId="17" borderId="10" xfId="0" applyNumberFormat="1" applyFont="1" applyFill="1" applyBorder="1" applyAlignment="1">
      <alignment horizontal="right" vertical="center"/>
    </xf>
    <xf numFmtId="0" fontId="2" fillId="17" borderId="10" xfId="0" applyFont="1" applyFill="1" applyBorder="1" applyAlignment="1">
      <alignment horizontal="right"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2" fillId="20" borderId="10" xfId="0" applyFont="1" applyFill="1" applyBorder="1" applyAlignment="1">
      <alignment/>
    </xf>
    <xf numFmtId="37" fontId="0" fillId="0" borderId="0" xfId="0" applyNumberFormat="1" applyAlignment="1">
      <alignment horizontal="center" vertical="center"/>
    </xf>
    <xf numFmtId="3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37" fontId="6" fillId="0" borderId="10" xfId="46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1" fontId="2" fillId="21" borderId="10" xfId="46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37" fontId="0" fillId="0" borderId="0" xfId="0" applyNumberFormat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5" fillId="8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37" fontId="2" fillId="16" borderId="10" xfId="46" applyNumberFormat="1" applyFont="1" applyFill="1" applyBorder="1" applyAlignment="1">
      <alignment horizontal="right" vertical="center"/>
    </xf>
    <xf numFmtId="41" fontId="2" fillId="16" borderId="10" xfId="0" applyNumberFormat="1" applyFont="1" applyFill="1" applyBorder="1" applyAlignment="1">
      <alignment horizontal="center" vertical="center"/>
    </xf>
    <xf numFmtId="41" fontId="2" fillId="16" borderId="10" xfId="46" applyFont="1" applyFill="1" applyBorder="1" applyAlignment="1">
      <alignment horizontal="center" vertical="center"/>
    </xf>
    <xf numFmtId="37" fontId="2" fillId="16" borderId="10" xfId="0" applyNumberFormat="1" applyFont="1" applyFill="1" applyBorder="1" applyAlignment="1">
      <alignment horizontal="right" vertical="center"/>
    </xf>
    <xf numFmtId="41" fontId="2" fillId="16" borderId="10" xfId="46" applyFont="1" applyFill="1" applyBorder="1" applyAlignment="1">
      <alignment horizontal="right" vertical="center"/>
    </xf>
    <xf numFmtId="0" fontId="2" fillId="16" borderId="10" xfId="0" applyFont="1" applyFill="1" applyBorder="1" applyAlignment="1">
      <alignment horizontal="center" vertical="center"/>
    </xf>
    <xf numFmtId="41" fontId="2" fillId="0" borderId="14" xfId="46" applyFont="1" applyFill="1" applyBorder="1" applyAlignment="1">
      <alignment horizontal="center" vertical="center"/>
    </xf>
    <xf numFmtId="37" fontId="2" fillId="0" borderId="14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46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7" fontId="2" fillId="0" borderId="14" xfId="0" applyNumberFormat="1" applyFont="1" applyFill="1" applyBorder="1" applyAlignment="1">
      <alignment horizontal="right" vertical="center"/>
    </xf>
    <xf numFmtId="37" fontId="2" fillId="0" borderId="11" xfId="46" applyNumberFormat="1" applyFont="1" applyFill="1" applyBorder="1" applyAlignment="1">
      <alignment horizontal="right" vertical="center"/>
    </xf>
    <xf numFmtId="37" fontId="2" fillId="19" borderId="11" xfId="0" applyNumberFormat="1" applyFont="1" applyFill="1" applyBorder="1" applyAlignment="1">
      <alignment horizontal="right" vertical="center"/>
    </xf>
    <xf numFmtId="37" fontId="2" fillId="19" borderId="10" xfId="0" applyNumberFormat="1" applyFont="1" applyFill="1" applyBorder="1" applyAlignment="1">
      <alignment horizontal="right" vertical="center"/>
    </xf>
    <xf numFmtId="41" fontId="6" fillId="16" borderId="10" xfId="0" applyNumberFormat="1" applyFont="1" applyFill="1" applyBorder="1" applyAlignment="1">
      <alignment horizontal="right" vertical="center"/>
    </xf>
    <xf numFmtId="37" fontId="6" fillId="16" borderId="10" xfId="46" applyNumberFormat="1" applyFont="1" applyFill="1" applyBorder="1" applyAlignment="1">
      <alignment horizontal="right" vertical="center"/>
    </xf>
    <xf numFmtId="0" fontId="6" fillId="16" borderId="10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vertical="center"/>
    </xf>
    <xf numFmtId="0" fontId="6" fillId="16" borderId="10" xfId="0" applyFont="1" applyFill="1" applyBorder="1" applyAlignment="1">
      <alignment horizontal="center" vertical="center"/>
    </xf>
    <xf numFmtId="41" fontId="6" fillId="16" borderId="10" xfId="0" applyNumberFormat="1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center" vertical="center"/>
    </xf>
    <xf numFmtId="37" fontId="5" fillId="16" borderId="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1" fontId="0" fillId="0" borderId="21" xfId="46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2" fillId="19" borderId="0" xfId="0" applyFont="1" applyFill="1" applyBorder="1" applyAlignment="1">
      <alignment/>
    </xf>
    <xf numFmtId="0" fontId="2" fillId="19" borderId="0" xfId="0" applyFont="1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7" fontId="0" fillId="0" borderId="23" xfId="45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37" fontId="5" fillId="0" borderId="0" xfId="0" applyNumberFormat="1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1" fontId="2" fillId="17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/>
    </xf>
    <xf numFmtId="3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37" fontId="6" fillId="2" borderId="10" xfId="46" applyNumberFormat="1" applyFont="1" applyFill="1" applyBorder="1" applyAlignment="1">
      <alignment horizontal="right" vertical="center"/>
    </xf>
    <xf numFmtId="37" fontId="2" fillId="2" borderId="10" xfId="0" applyNumberFormat="1" applyFont="1" applyFill="1" applyBorder="1" applyAlignment="1">
      <alignment horizontal="right" vertical="center"/>
    </xf>
    <xf numFmtId="37" fontId="2" fillId="2" borderId="14" xfId="46" applyNumberFormat="1" applyFont="1" applyFill="1" applyBorder="1" applyAlignment="1">
      <alignment horizontal="right" vertical="center"/>
    </xf>
    <xf numFmtId="37" fontId="2" fillId="2" borderId="14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22" xfId="0" applyFont="1" applyFill="1" applyBorder="1" applyAlignment="1">
      <alignment horizontal="center" vertical="center" wrapText="1"/>
    </xf>
    <xf numFmtId="41" fontId="2" fillId="2" borderId="10" xfId="0" applyNumberFormat="1" applyFont="1" applyFill="1" applyBorder="1" applyAlignment="1">
      <alignment horizontal="center" vertical="center"/>
    </xf>
    <xf numFmtId="37" fontId="2" fillId="16" borderId="10" xfId="0" applyNumberFormat="1" applyFont="1" applyFill="1" applyBorder="1" applyAlignment="1">
      <alignment horizontal="right" vertical="center" wrapText="1"/>
    </xf>
    <xf numFmtId="177" fontId="2" fillId="17" borderId="10" xfId="0" applyNumberFormat="1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81" fontId="2" fillId="0" borderId="10" xfId="0" applyNumberFormat="1" applyFont="1" applyFill="1" applyBorder="1" applyAlignment="1">
      <alignment horizontal="right" vertic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41" fontId="2" fillId="19" borderId="10" xfId="46" applyFont="1" applyFill="1" applyBorder="1" applyAlignment="1">
      <alignment horizontal="center" vertical="center"/>
    </xf>
    <xf numFmtId="41" fontId="2" fillId="19" borderId="10" xfId="0" applyNumberFormat="1" applyFont="1" applyFill="1" applyBorder="1" applyAlignment="1">
      <alignment horizontal="center" vertical="center"/>
    </xf>
    <xf numFmtId="41" fontId="2" fillId="19" borderId="10" xfId="46" applyFont="1" applyFill="1" applyBorder="1" applyAlignment="1">
      <alignment horizontal="right" vertical="center"/>
    </xf>
    <xf numFmtId="0" fontId="5" fillId="14" borderId="0" xfId="0" applyFont="1" applyFill="1" applyBorder="1" applyAlignment="1">
      <alignment vertical="center"/>
    </xf>
    <xf numFmtId="37" fontId="0" fillId="0" borderId="0" xfId="0" applyNumberFormat="1" applyAlignment="1">
      <alignment horizontal="left" wrapText="1"/>
    </xf>
    <xf numFmtId="0" fontId="1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6" fillId="17" borderId="10" xfId="0" applyNumberFormat="1" applyFont="1" applyFill="1" applyBorder="1" applyAlignment="1">
      <alignment horizontal="right" vertical="center"/>
    </xf>
    <xf numFmtId="37" fontId="6" fillId="17" borderId="10" xfId="46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37" fontId="2" fillId="0" borderId="10" xfId="45" applyNumberFormat="1" applyFont="1" applyFill="1" applyBorder="1" applyAlignment="1">
      <alignment horizontal="right" vertical="center"/>
    </xf>
    <xf numFmtId="0" fontId="0" fillId="16" borderId="0" xfId="0" applyFont="1" applyFill="1" applyBorder="1" applyAlignment="1">
      <alignment vertical="center"/>
    </xf>
    <xf numFmtId="37" fontId="8" fillId="19" borderId="10" xfId="46" applyNumberFormat="1" applyFont="1" applyFill="1" applyBorder="1" applyAlignment="1">
      <alignment horizontal="right" vertical="center"/>
    </xf>
    <xf numFmtId="37" fontId="2" fillId="2" borderId="10" xfId="47" applyNumberFormat="1" applyFont="1" applyFill="1" applyBorder="1" applyAlignment="1">
      <alignment horizontal="right" vertical="center"/>
    </xf>
    <xf numFmtId="37" fontId="2" fillId="3" borderId="10" xfId="47" applyNumberFormat="1" applyFont="1" applyFill="1" applyBorder="1" applyAlignment="1">
      <alignment horizontal="right" vertical="center"/>
    </xf>
    <xf numFmtId="37" fontId="2" fillId="17" borderId="10" xfId="47" applyNumberFormat="1" applyFont="1" applyFill="1" applyBorder="1" applyAlignment="1">
      <alignment horizontal="right" vertical="center"/>
    </xf>
    <xf numFmtId="37" fontId="2" fillId="0" borderId="10" xfId="47" applyNumberFormat="1" applyFont="1" applyFill="1" applyBorder="1" applyAlignment="1">
      <alignment horizontal="right" vertical="center"/>
    </xf>
    <xf numFmtId="41" fontId="2" fillId="16" borderId="10" xfId="47" applyFont="1" applyFill="1" applyBorder="1" applyAlignment="1">
      <alignment horizontal="center" vertical="center"/>
    </xf>
    <xf numFmtId="41" fontId="2" fillId="17" borderId="10" xfId="47" applyFont="1" applyFill="1" applyBorder="1" applyAlignment="1">
      <alignment horizontal="center" vertical="center"/>
    </xf>
    <xf numFmtId="37" fontId="2" fillId="22" borderId="10" xfId="0" applyNumberFormat="1" applyFont="1" applyFill="1" applyBorder="1" applyAlignment="1">
      <alignment horizontal="right" vertical="center" wrapText="1"/>
    </xf>
    <xf numFmtId="41" fontId="2" fillId="23" borderId="10" xfId="0" applyNumberFormat="1" applyFont="1" applyFill="1" applyBorder="1" applyAlignment="1">
      <alignment horizontal="center" vertical="center"/>
    </xf>
    <xf numFmtId="37" fontId="6" fillId="16" borderId="10" xfId="47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center" vertical="center" wrapText="1"/>
    </xf>
    <xf numFmtId="177" fontId="2" fillId="15" borderId="10" xfId="48" applyNumberFormat="1" applyFont="1" applyFill="1" applyBorder="1" applyAlignment="1">
      <alignment horizontal="right" vertical="center" wrapText="1"/>
    </xf>
    <xf numFmtId="177" fontId="2" fillId="20" borderId="10" xfId="0" applyNumberFormat="1" applyFont="1" applyFill="1" applyBorder="1" applyAlignment="1">
      <alignment horizontal="right" vertical="center" wrapText="1"/>
    </xf>
    <xf numFmtId="43" fontId="2" fillId="2" borderId="10" xfId="48" applyFont="1" applyFill="1" applyBorder="1" applyAlignment="1">
      <alignment horizontal="right" vertical="center" wrapText="1"/>
    </xf>
    <xf numFmtId="3" fontId="2" fillId="20" borderId="10" xfId="0" applyNumberFormat="1" applyFont="1" applyFill="1" applyBorder="1" applyAlignment="1">
      <alignment horizontal="right" vertical="center"/>
    </xf>
    <xf numFmtId="37" fontId="2" fillId="15" borderId="10" xfId="0" applyNumberFormat="1" applyFont="1" applyFill="1" applyBorder="1" applyAlignment="1">
      <alignment horizontal="right" vertical="center"/>
    </xf>
    <xf numFmtId="43" fontId="0" fillId="0" borderId="0" xfId="45" applyFont="1" applyFill="1" applyBorder="1" applyAlignment="1">
      <alignment horizontal="center" vertical="center"/>
    </xf>
    <xf numFmtId="177" fontId="2" fillId="16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4" fontId="9" fillId="0" borderId="25" xfId="0" applyNumberFormat="1" applyFont="1" applyBorder="1" applyAlignment="1">
      <alignment vertical="center"/>
    </xf>
    <xf numFmtId="37" fontId="2" fillId="16" borderId="10" xfId="45" applyNumberFormat="1" applyFont="1" applyFill="1" applyBorder="1" applyAlignment="1">
      <alignment horizontal="right" vertical="center" wrapText="1"/>
    </xf>
    <xf numFmtId="0" fontId="2" fillId="19" borderId="13" xfId="0" applyFont="1" applyFill="1" applyBorder="1" applyAlignment="1">
      <alignment horizontal="right" vertical="center"/>
    </xf>
    <xf numFmtId="37" fontId="2" fillId="19" borderId="14" xfId="0" applyNumberFormat="1" applyFont="1" applyFill="1" applyBorder="1" applyAlignment="1">
      <alignment horizontal="right" vertical="center"/>
    </xf>
    <xf numFmtId="37" fontId="2" fillId="20" borderId="10" xfId="46" applyNumberFormat="1" applyFont="1" applyFill="1" applyBorder="1" applyAlignment="1">
      <alignment horizontal="right" vertical="center"/>
    </xf>
    <xf numFmtId="41" fontId="2" fillId="20" borderId="10" xfId="0" applyNumberFormat="1" applyFont="1" applyFill="1" applyBorder="1" applyAlignment="1">
      <alignment horizontal="center" vertical="center"/>
    </xf>
    <xf numFmtId="41" fontId="2" fillId="20" borderId="10" xfId="46" applyFont="1" applyFill="1" applyBorder="1" applyAlignment="1">
      <alignment horizontal="center" vertical="center"/>
    </xf>
    <xf numFmtId="37" fontId="2" fillId="20" borderId="10" xfId="0" applyNumberFormat="1" applyFont="1" applyFill="1" applyBorder="1" applyAlignment="1">
      <alignment horizontal="right" vertical="center"/>
    </xf>
    <xf numFmtId="41" fontId="2" fillId="20" borderId="10" xfId="46" applyFont="1" applyFill="1" applyBorder="1" applyAlignment="1">
      <alignment horizontal="right" vertical="center"/>
    </xf>
    <xf numFmtId="177" fontId="2" fillId="18" borderId="10" xfId="45" applyNumberFormat="1" applyFont="1" applyFill="1" applyBorder="1" applyAlignment="1">
      <alignment horizontal="center" vertical="center" wrapText="1"/>
    </xf>
    <xf numFmtId="177" fontId="2" fillId="18" borderId="10" xfId="0" applyNumberFormat="1" applyFont="1" applyFill="1" applyBorder="1" applyAlignment="1">
      <alignment horizontal="center" vertical="center" wrapText="1"/>
    </xf>
    <xf numFmtId="37" fontId="2" fillId="18" borderId="10" xfId="47" applyNumberFormat="1" applyFont="1" applyFill="1" applyBorder="1" applyAlignment="1">
      <alignment horizontal="right" vertical="center"/>
    </xf>
    <xf numFmtId="37" fontId="2" fillId="18" borderId="10" xfId="45" applyNumberFormat="1" applyFont="1" applyFill="1" applyBorder="1" applyAlignment="1">
      <alignment horizontal="right" vertical="center"/>
    </xf>
    <xf numFmtId="37" fontId="2" fillId="18" borderId="10" xfId="45" applyNumberFormat="1" applyFont="1" applyFill="1" applyBorder="1" applyAlignment="1">
      <alignment horizontal="right" vertical="center" wrapText="1"/>
    </xf>
    <xf numFmtId="37" fontId="2" fillId="18" borderId="10" xfId="46" applyNumberFormat="1" applyFont="1" applyFill="1" applyBorder="1" applyAlignment="1">
      <alignment horizontal="right" vertical="center"/>
    </xf>
    <xf numFmtId="41" fontId="2" fillId="18" borderId="10" xfId="0" applyNumberFormat="1" applyFont="1" applyFill="1" applyBorder="1" applyAlignment="1">
      <alignment horizontal="center" vertical="center"/>
    </xf>
    <xf numFmtId="177" fontId="2" fillId="20" borderId="10" xfId="0" applyNumberFormat="1" applyFont="1" applyFill="1" applyBorder="1" applyAlignment="1">
      <alignment horizontal="center" vertical="center" wrapText="1"/>
    </xf>
    <xf numFmtId="41" fontId="6" fillId="20" borderId="10" xfId="0" applyNumberFormat="1" applyFont="1" applyFill="1" applyBorder="1" applyAlignment="1">
      <alignment horizontal="right" vertical="center"/>
    </xf>
    <xf numFmtId="37" fontId="6" fillId="20" borderId="10" xfId="46" applyNumberFormat="1" applyFont="1" applyFill="1" applyBorder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37" fontId="5" fillId="16" borderId="0" xfId="0" applyNumberFormat="1" applyFont="1" applyFill="1" applyBorder="1" applyAlignment="1">
      <alignment vertical="center"/>
    </xf>
    <xf numFmtId="37" fontId="2" fillId="21" borderId="10" xfId="0" applyNumberFormat="1" applyFont="1" applyFill="1" applyBorder="1" applyAlignment="1">
      <alignment horizontal="right" vertical="center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right" vertical="center"/>
    </xf>
    <xf numFmtId="0" fontId="6" fillId="21" borderId="10" xfId="0" applyFont="1" applyFill="1" applyBorder="1" applyAlignment="1">
      <alignment horizontal="center" vertical="center" wrapText="1"/>
    </xf>
    <xf numFmtId="37" fontId="6" fillId="21" borderId="10" xfId="46" applyNumberFormat="1" applyFont="1" applyFill="1" applyBorder="1" applyAlignment="1">
      <alignment horizontal="right" vertical="center"/>
    </xf>
    <xf numFmtId="37" fontId="2" fillId="21" borderId="10" xfId="46" applyNumberFormat="1" applyFont="1" applyFill="1" applyBorder="1" applyAlignment="1">
      <alignment horizontal="right" vertical="center"/>
    </xf>
    <xf numFmtId="43" fontId="0" fillId="0" borderId="0" xfId="45" applyFont="1" applyFill="1" applyBorder="1" applyAlignment="1">
      <alignment horizontal="center"/>
    </xf>
    <xf numFmtId="37" fontId="2" fillId="21" borderId="12" xfId="0" applyNumberFormat="1" applyFont="1" applyFill="1" applyBorder="1" applyAlignment="1">
      <alignment horizontal="right" vertical="center" wrapText="1"/>
    </xf>
    <xf numFmtId="37" fontId="2" fillId="21" borderId="10" xfId="0" applyNumberFormat="1" applyFont="1" applyFill="1" applyBorder="1" applyAlignment="1">
      <alignment horizontal="right" vertical="center" wrapText="1"/>
    </xf>
    <xf numFmtId="41" fontId="2" fillId="21" borderId="10" xfId="0" applyNumberFormat="1" applyFont="1" applyFill="1" applyBorder="1" applyAlignment="1">
      <alignment horizontal="center" vertical="center"/>
    </xf>
    <xf numFmtId="177" fontId="0" fillId="0" borderId="23" xfId="45" applyNumberFormat="1" applyFont="1" applyFill="1" applyBorder="1" applyAlignment="1">
      <alignment horizontal="center"/>
    </xf>
    <xf numFmtId="43" fontId="0" fillId="0" borderId="0" xfId="45" applyFont="1" applyFill="1" applyBorder="1" applyAlignment="1">
      <alignment horizontal="center"/>
    </xf>
    <xf numFmtId="43" fontId="0" fillId="0" borderId="0" xfId="45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37" fontId="5" fillId="8" borderId="0" xfId="0" applyNumberFormat="1" applyFont="1" applyFill="1" applyBorder="1" applyAlignment="1">
      <alignment vertical="center"/>
    </xf>
    <xf numFmtId="37" fontId="2" fillId="2" borderId="10" xfId="0" applyNumberFormat="1" applyFont="1" applyFill="1" applyBorder="1" applyAlignment="1">
      <alignment horizontal="right" vertical="center" wrapText="1"/>
    </xf>
    <xf numFmtId="37" fontId="2" fillId="2" borderId="10" xfId="46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37" fontId="2" fillId="2" borderId="10" xfId="45" applyNumberFormat="1" applyFont="1" applyFill="1" applyBorder="1" applyAlignment="1">
      <alignment horizontal="right" vertical="center" wrapText="1"/>
    </xf>
    <xf numFmtId="41" fontId="2" fillId="2" borderId="10" xfId="46" applyFont="1" applyFill="1" applyBorder="1" applyAlignment="1">
      <alignment horizontal="right" vertical="center"/>
    </xf>
    <xf numFmtId="43" fontId="0" fillId="0" borderId="0" xfId="45" applyFont="1" applyFill="1" applyBorder="1" applyAlignment="1">
      <alignment horizontal="left"/>
    </xf>
    <xf numFmtId="37" fontId="0" fillId="0" borderId="0" xfId="0" applyNumberForma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7" fontId="2" fillId="0" borderId="0" xfId="0" applyNumberFormat="1" applyFont="1" applyFill="1" applyAlignment="1">
      <alignment/>
    </xf>
    <xf numFmtId="41" fontId="2" fillId="0" borderId="26" xfId="46" applyFont="1" applyFill="1" applyBorder="1" applyAlignment="1">
      <alignment horizontal="right" vertical="center"/>
    </xf>
    <xf numFmtId="41" fontId="2" fillId="0" borderId="0" xfId="46" applyFont="1" applyFill="1" applyBorder="1" applyAlignment="1">
      <alignment horizontal="right" vertical="center"/>
    </xf>
    <xf numFmtId="41" fontId="0" fillId="0" borderId="0" xfId="46" applyFont="1" applyFill="1" applyBorder="1" applyAlignment="1">
      <alignment horizontal="right" vertical="center"/>
    </xf>
    <xf numFmtId="41" fontId="2" fillId="0" borderId="0" xfId="46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 vertical="center"/>
    </xf>
    <xf numFmtId="41" fontId="0" fillId="2" borderId="27" xfId="46" applyFont="1" applyFill="1" applyBorder="1" applyAlignment="1">
      <alignment horizontal="right" vertical="center"/>
    </xf>
    <xf numFmtId="41" fontId="0" fillId="2" borderId="28" xfId="46" applyFont="1" applyFill="1" applyBorder="1" applyAlignment="1">
      <alignment horizontal="right" vertical="center"/>
    </xf>
    <xf numFmtId="41" fontId="0" fillId="0" borderId="29" xfId="46" applyFont="1" applyBorder="1" applyAlignment="1">
      <alignment horizontal="right" vertical="center"/>
    </xf>
    <xf numFmtId="41" fontId="0" fillId="0" borderId="30" xfId="46" applyFont="1" applyBorder="1" applyAlignment="1">
      <alignment horizontal="right" vertical="center"/>
    </xf>
    <xf numFmtId="41" fontId="2" fillId="0" borderId="29" xfId="46" applyFont="1" applyFill="1" applyBorder="1" applyAlignment="1">
      <alignment horizontal="right" vertical="center"/>
    </xf>
    <xf numFmtId="41" fontId="2" fillId="0" borderId="30" xfId="46" applyFont="1" applyFill="1" applyBorder="1" applyAlignment="1">
      <alignment horizontal="right" vertical="center"/>
    </xf>
    <xf numFmtId="43" fontId="0" fillId="0" borderId="15" xfId="45" applyFont="1" applyFill="1" applyBorder="1" applyAlignment="1">
      <alignment horizontal="center"/>
    </xf>
    <xf numFmtId="43" fontId="0" fillId="0" borderId="16" xfId="45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0" xfId="46" applyFont="1" applyBorder="1" applyAlignment="1">
      <alignment horizontal="right" vertical="center"/>
    </xf>
    <xf numFmtId="41" fontId="0" fillId="2" borderId="0" xfId="46" applyFont="1" applyFill="1" applyBorder="1" applyAlignment="1">
      <alignment horizontal="right" vertical="center"/>
    </xf>
    <xf numFmtId="41" fontId="0" fillId="0" borderId="31" xfId="46" applyFont="1" applyFill="1" applyBorder="1" applyAlignment="1">
      <alignment horizontal="right" vertical="center"/>
    </xf>
    <xf numFmtId="41" fontId="0" fillId="0" borderId="32" xfId="46" applyFont="1" applyFill="1" applyBorder="1" applyAlignment="1">
      <alignment horizontal="right" vertical="center"/>
    </xf>
    <xf numFmtId="41" fontId="2" fillId="0" borderId="33" xfId="46" applyFont="1" applyBorder="1" applyAlignment="1">
      <alignment horizontal="right" vertical="center"/>
    </xf>
    <xf numFmtId="41" fontId="2" fillId="0" borderId="34" xfId="46" applyFont="1" applyBorder="1" applyAlignment="1">
      <alignment horizontal="right" vertical="center"/>
    </xf>
    <xf numFmtId="41" fontId="2" fillId="0" borderId="35" xfId="46" applyFont="1" applyFill="1" applyBorder="1" applyAlignment="1">
      <alignment horizontal="right" vertical="center"/>
    </xf>
    <xf numFmtId="43" fontId="0" fillId="0" borderId="15" xfId="45" applyFont="1" applyFill="1" applyBorder="1" applyAlignment="1">
      <alignment horizontal="center"/>
    </xf>
    <xf numFmtId="43" fontId="0" fillId="0" borderId="16" xfId="45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6"/>
  <sheetViews>
    <sheetView view="pageBreakPreview" zoomScale="75" zoomScaleSheetLayoutView="75" zoomScalePageLayoutView="0" workbookViewId="0" topLeftCell="A1">
      <selection activeCell="R2" sqref="R2:U2"/>
    </sheetView>
  </sheetViews>
  <sheetFormatPr defaultColWidth="9.140625" defaultRowHeight="12.75"/>
  <cols>
    <col min="1" max="1" width="44.140625" style="0" customWidth="1"/>
    <col min="2" max="2" width="15.8515625" style="0" customWidth="1"/>
    <col min="3" max="3" width="14.8515625" style="0" customWidth="1"/>
    <col min="4" max="4" width="12.8515625" style="0" customWidth="1"/>
    <col min="5" max="5" width="13.421875" style="0" customWidth="1"/>
    <col min="6" max="6" width="12.28125" style="0" customWidth="1"/>
    <col min="7" max="7" width="11.140625" style="0" customWidth="1"/>
    <col min="8" max="8" width="12.00390625" style="0" customWidth="1"/>
    <col min="9" max="9" width="11.00390625" style="0" customWidth="1"/>
    <col min="10" max="10" width="16.7109375" style="0" customWidth="1"/>
    <col min="11" max="11" width="24.140625" style="0" customWidth="1"/>
    <col min="12" max="12" width="12.140625" style="0" customWidth="1"/>
    <col min="13" max="13" width="11.140625" style="0" customWidth="1"/>
    <col min="14" max="14" width="12.28125" style="0" customWidth="1"/>
    <col min="15" max="15" width="16.28125" style="0" customWidth="1"/>
    <col min="16" max="16" width="12.140625" style="0" customWidth="1"/>
    <col min="17" max="17" width="11.421875" style="0" customWidth="1"/>
    <col min="18" max="18" width="18.00390625" style="0" customWidth="1"/>
    <col min="19" max="19" width="9.28125" style="0" bestFit="1" customWidth="1"/>
    <col min="20" max="20" width="12.57421875" style="0" customWidth="1"/>
    <col min="21" max="21" width="13.8515625" style="0" customWidth="1"/>
    <col min="22" max="22" width="10.28125" style="0" bestFit="1" customWidth="1"/>
    <col min="23" max="23" width="11.140625" style="0" customWidth="1"/>
    <col min="24" max="24" width="11.28125" style="0" customWidth="1"/>
    <col min="28" max="28" width="9.28125" style="0" bestFit="1" customWidth="1"/>
    <col min="31" max="31" width="9.28125" style="0" bestFit="1" customWidth="1"/>
    <col min="33" max="33" width="9.28125" style="0" bestFit="1" customWidth="1"/>
  </cols>
  <sheetData>
    <row r="1" spans="1:38" ht="20.25">
      <c r="A1" s="41"/>
      <c r="B1" s="4" t="s">
        <v>76</v>
      </c>
      <c r="C1" s="41"/>
      <c r="D1" s="41"/>
      <c r="E1" s="209" t="s">
        <v>15</v>
      </c>
      <c r="F1" s="210"/>
      <c r="G1" s="210"/>
      <c r="H1" s="210"/>
      <c r="I1" s="210"/>
      <c r="J1" s="210"/>
      <c r="K1" s="210"/>
      <c r="L1" s="210"/>
      <c r="M1" s="210"/>
      <c r="N1" s="210"/>
      <c r="O1" s="132"/>
      <c r="P1" s="159"/>
      <c r="Q1" s="132"/>
      <c r="R1" s="133"/>
      <c r="S1" s="133"/>
      <c r="T1" s="133"/>
      <c r="U1" s="4"/>
      <c r="V1" s="4"/>
      <c r="W1" s="5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211" t="s">
        <v>47</v>
      </c>
      <c r="S2" s="211"/>
      <c r="T2" s="211"/>
      <c r="U2" s="211"/>
      <c r="V2" s="4"/>
      <c r="W2" s="5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9.75" customHeight="1">
      <c r="A3" s="14" t="s">
        <v>68</v>
      </c>
      <c r="B3" s="14" t="s">
        <v>69</v>
      </c>
      <c r="C3" s="13" t="s">
        <v>14</v>
      </c>
      <c r="D3" s="13" t="s">
        <v>133</v>
      </c>
      <c r="E3" s="13" t="s">
        <v>67</v>
      </c>
      <c r="F3" s="13" t="s">
        <v>128</v>
      </c>
      <c r="G3" s="112" t="s">
        <v>54</v>
      </c>
      <c r="H3" s="13" t="s">
        <v>77</v>
      </c>
      <c r="I3" s="13" t="s">
        <v>32</v>
      </c>
      <c r="J3" s="13" t="s">
        <v>93</v>
      </c>
      <c r="K3" s="13" t="s">
        <v>94</v>
      </c>
      <c r="L3" s="13" t="s">
        <v>39</v>
      </c>
      <c r="M3" s="202" t="s">
        <v>38</v>
      </c>
      <c r="N3" s="13" t="s">
        <v>73</v>
      </c>
      <c r="O3" s="24" t="s">
        <v>49</v>
      </c>
      <c r="P3" s="13" t="s">
        <v>95</v>
      </c>
      <c r="Q3" s="13" t="s">
        <v>70</v>
      </c>
      <c r="R3" s="13" t="s">
        <v>50</v>
      </c>
      <c r="S3" s="13" t="s">
        <v>135</v>
      </c>
      <c r="T3" s="158" t="s">
        <v>29</v>
      </c>
      <c r="U3" s="13" t="s">
        <v>72</v>
      </c>
      <c r="V3" s="100" t="s">
        <v>122</v>
      </c>
      <c r="W3" s="101"/>
      <c r="X3" s="1"/>
      <c r="Y3" s="10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9" customHeight="1">
      <c r="A4" s="22" t="s">
        <v>41</v>
      </c>
      <c r="B4" s="18" t="s">
        <v>81</v>
      </c>
      <c r="C4" s="28">
        <f>39979.29</f>
        <v>39979.29</v>
      </c>
      <c r="D4" s="28">
        <f>20.16*13</f>
        <v>262.08</v>
      </c>
      <c r="E4" s="28">
        <f>13.94*13</f>
        <v>181.22</v>
      </c>
      <c r="F4" s="28">
        <f>0</f>
        <v>0</v>
      </c>
      <c r="G4" s="28">
        <f>C4/12</f>
        <v>3331.6075</v>
      </c>
      <c r="H4" s="28"/>
      <c r="I4" s="28"/>
      <c r="J4" s="28"/>
      <c r="K4" s="29"/>
      <c r="L4" s="28">
        <v>7837.57</v>
      </c>
      <c r="M4" s="16">
        <f>(((C4+D4+E4+G4+L4)*0.1)/12*5)*50%+(((C4+D4+E4+G4+L4)*0.1)/12*7)</f>
        <v>4084.3482604166675</v>
      </c>
      <c r="N4" s="28">
        <f>C4+D4+E4+G4+L4</f>
        <v>51591.7675</v>
      </c>
      <c r="O4" s="28">
        <f>N4*0.238</f>
        <v>12278.840665</v>
      </c>
      <c r="P4" s="28">
        <f>N4*0.0288</f>
        <v>1485.842904</v>
      </c>
      <c r="Q4" s="28">
        <v>0</v>
      </c>
      <c r="R4" s="28">
        <f>SUM(O4:Q4)</f>
        <v>13764.683569</v>
      </c>
      <c r="S4" s="20">
        <v>0</v>
      </c>
      <c r="T4" s="28">
        <f>N4*0.085</f>
        <v>4385.300237500001</v>
      </c>
      <c r="U4" s="28">
        <f>+N4+R4+T4</f>
        <v>69741.75130650001</v>
      </c>
      <c r="V4" s="102">
        <f>+(U4+U5)*50%</f>
        <v>52796.70516820079</v>
      </c>
      <c r="W4" s="102"/>
      <c r="X4" s="131" t="s">
        <v>127</v>
      </c>
      <c r="Y4" s="103"/>
      <c r="Z4" s="1"/>
      <c r="AA4" s="1"/>
      <c r="AB4" s="1"/>
      <c r="AC4" s="1"/>
      <c r="AD4" s="1"/>
      <c r="AE4" s="1"/>
      <c r="AF4" s="103"/>
      <c r="AG4" s="42"/>
      <c r="AH4" s="103"/>
      <c r="AI4" s="1"/>
      <c r="AJ4" s="1"/>
      <c r="AK4" s="1"/>
      <c r="AL4" s="1"/>
    </row>
    <row r="5" spans="1:38" ht="40.5" customHeight="1">
      <c r="A5" s="22" t="s">
        <v>40</v>
      </c>
      <c r="B5" s="18" t="s">
        <v>81</v>
      </c>
      <c r="C5" s="28"/>
      <c r="D5" s="28"/>
      <c r="E5" s="28"/>
      <c r="F5" s="28"/>
      <c r="G5" s="28"/>
      <c r="H5" s="28"/>
      <c r="I5" s="28"/>
      <c r="J5" s="28">
        <f>(C4+E4+G4+L4)*0.25+K5*0.25</f>
        <v>14188.121875</v>
      </c>
      <c r="K5" s="28">
        <f>(10845.6*50%)</f>
        <v>5422.8</v>
      </c>
      <c r="L5" s="28"/>
      <c r="M5" s="28">
        <f>((((J5+K5)*0.1)/12*5)*50%)+((J5+K5)*0.1)/12*7</f>
        <v>1552.5313151041669</v>
      </c>
      <c r="N5" s="29">
        <f>M4+J5+K5+M5+M6</f>
        <v>26671.855238020835</v>
      </c>
      <c r="O5" s="28">
        <f aca="true" t="shared" si="0" ref="O5:O24">N5*0.238</f>
        <v>6347.901546648958</v>
      </c>
      <c r="P5" s="28">
        <f>(J5+K5)*0.0288</f>
        <v>564.79455</v>
      </c>
      <c r="Q5" s="28">
        <v>0</v>
      </c>
      <c r="R5" s="28">
        <f>SUM(O5:Q5)</f>
        <v>6912.696096648958</v>
      </c>
      <c r="S5" s="20">
        <v>0</v>
      </c>
      <c r="T5" s="28">
        <f>N5*0.085</f>
        <v>2267.1076952317712</v>
      </c>
      <c r="U5" s="28">
        <f>+N5+R5+T5</f>
        <v>35851.659029901566</v>
      </c>
      <c r="V5" s="218">
        <f>+U5/2</f>
        <v>17925.829514950783</v>
      </c>
      <c r="W5" s="219"/>
      <c r="X5" s="42"/>
      <c r="Y5" s="1"/>
      <c r="Z5" s="1"/>
      <c r="AA5" s="42"/>
      <c r="AB5" s="1">
        <f>+AA5*50%</f>
        <v>0</v>
      </c>
      <c r="AC5" s="1"/>
      <c r="AD5" s="1"/>
      <c r="AE5" s="1"/>
      <c r="AF5" s="1"/>
      <c r="AG5" s="42"/>
      <c r="AH5" s="1"/>
      <c r="AI5" s="1"/>
      <c r="AJ5" s="1"/>
      <c r="AK5" s="1"/>
      <c r="AL5" s="1"/>
    </row>
    <row r="6" spans="1:38" ht="40.5" customHeight="1">
      <c r="A6" s="22" t="s">
        <v>142</v>
      </c>
      <c r="B6" s="18"/>
      <c r="C6" s="28"/>
      <c r="D6" s="28"/>
      <c r="E6" s="28"/>
      <c r="F6" s="28"/>
      <c r="G6" s="28"/>
      <c r="H6" s="28"/>
      <c r="I6" s="28"/>
      <c r="J6" s="28"/>
      <c r="K6" s="29"/>
      <c r="L6" s="29"/>
      <c r="M6" s="28">
        <f>N6*0.1</f>
        <v>1424.0537875000005</v>
      </c>
      <c r="N6" s="16">
        <f>(C4+D4+E4+G4+J5+K5+L4)/5</f>
        <v>14240.537875000004</v>
      </c>
      <c r="O6" s="28">
        <f>+N6*23.8%</f>
        <v>3389.2480142500012</v>
      </c>
      <c r="P6" s="28">
        <v>0</v>
      </c>
      <c r="Q6" s="28">
        <v>0</v>
      </c>
      <c r="R6" s="28">
        <f>+O6+P6+Q6</f>
        <v>3389.2480142500012</v>
      </c>
      <c r="S6" s="20"/>
      <c r="T6" s="28">
        <f>N6*0.085</f>
        <v>1210.4457193750004</v>
      </c>
      <c r="U6" s="28">
        <f>+N6+R6+T6</f>
        <v>18840.231608625007</v>
      </c>
      <c r="V6" s="200" t="s">
        <v>36</v>
      </c>
      <c r="W6" s="186"/>
      <c r="X6" s="42"/>
      <c r="Y6" s="1"/>
      <c r="Z6" s="1"/>
      <c r="AA6" s="42"/>
      <c r="AB6" s="1"/>
      <c r="AC6" s="1"/>
      <c r="AD6" s="1"/>
      <c r="AE6" s="1"/>
      <c r="AF6" s="1"/>
      <c r="AG6" s="42"/>
      <c r="AH6" s="1"/>
      <c r="AI6" s="1"/>
      <c r="AJ6" s="1"/>
      <c r="AK6" s="1"/>
      <c r="AL6" s="1"/>
    </row>
    <row r="7" spans="1:38" ht="41.25" customHeight="1">
      <c r="A7" s="19" t="s">
        <v>103</v>
      </c>
      <c r="B7" s="12" t="s">
        <v>79</v>
      </c>
      <c r="C7" s="15">
        <f>22203.89</f>
        <v>22203.89</v>
      </c>
      <c r="D7" s="141">
        <f>13.88*13</f>
        <v>180.44</v>
      </c>
      <c r="E7" s="15">
        <v>0</v>
      </c>
      <c r="F7" s="15">
        <v>0</v>
      </c>
      <c r="G7" s="195">
        <f>C7/12</f>
        <v>1850.3241666666665</v>
      </c>
      <c r="H7" s="15">
        <f>51.9*12</f>
        <v>622.8</v>
      </c>
      <c r="I7" s="15"/>
      <c r="J7" s="15"/>
      <c r="K7" s="15"/>
      <c r="L7" s="15"/>
      <c r="M7" s="15"/>
      <c r="N7" s="15">
        <f>SUM(C7:M7)</f>
        <v>24857.454166666663</v>
      </c>
      <c r="O7" s="15">
        <f t="shared" si="0"/>
        <v>5916.0740916666655</v>
      </c>
      <c r="P7" s="15">
        <f>SUM(C7:G7)*0.8*0.061</f>
        <v>1182.651123333333</v>
      </c>
      <c r="Q7" s="195">
        <f aca="true" t="shared" si="1" ref="Q7:Q19">N7*0.00505-N7*0.00505*15.38%</f>
        <v>106.22360746495832</v>
      </c>
      <c r="R7" s="15">
        <f>SUM(O7:Q7)</f>
        <v>7204.948822464957</v>
      </c>
      <c r="S7" s="20">
        <v>0</v>
      </c>
      <c r="T7" s="15">
        <f>N7*0.085</f>
        <v>2112.8836041666664</v>
      </c>
      <c r="U7" s="15">
        <f aca="true" t="shared" si="2" ref="U7:U30">N7+R7+T7</f>
        <v>34175.28659329829</v>
      </c>
      <c r="V7" s="43"/>
      <c r="W7" s="43"/>
      <c r="X7" s="53"/>
      <c r="Y7" s="3"/>
      <c r="Z7" s="3"/>
      <c r="AA7" s="3"/>
      <c r="AB7" s="3"/>
      <c r="AC7" s="3"/>
      <c r="AD7" s="3"/>
      <c r="AE7" s="3"/>
      <c r="AF7" s="3"/>
      <c r="AG7" s="53" t="e">
        <f>+#REF!-#REF!</f>
        <v>#REF!</v>
      </c>
      <c r="AH7" s="3"/>
      <c r="AI7" s="3"/>
      <c r="AJ7" s="3"/>
      <c r="AK7" s="3"/>
      <c r="AL7" s="3"/>
    </row>
    <row r="8" spans="1:38" ht="46.5" customHeight="1">
      <c r="A8" s="45" t="s">
        <v>86</v>
      </c>
      <c r="B8" s="50" t="s">
        <v>79</v>
      </c>
      <c r="C8" s="48"/>
      <c r="D8" s="3"/>
      <c r="E8" s="48"/>
      <c r="F8" s="48"/>
      <c r="G8" s="113"/>
      <c r="H8" s="48"/>
      <c r="I8" s="48"/>
      <c r="J8" s="48"/>
      <c r="K8" s="48"/>
      <c r="L8" s="48">
        <f>(6400+(6400*25%))</f>
        <v>8000</v>
      </c>
      <c r="M8" s="48"/>
      <c r="N8" s="48">
        <f>L8</f>
        <v>8000</v>
      </c>
      <c r="O8" s="48">
        <f t="shared" si="0"/>
        <v>1904</v>
      </c>
      <c r="P8" s="48">
        <f>6400*0.8*0.061</f>
        <v>312.32</v>
      </c>
      <c r="Q8" s="48">
        <f t="shared" si="1"/>
        <v>34.186479999999996</v>
      </c>
      <c r="R8" s="48">
        <f>O8+P8+Q8</f>
        <v>2250.50648</v>
      </c>
      <c r="S8" s="20">
        <v>0</v>
      </c>
      <c r="T8" s="48">
        <f>L8*8.5%</f>
        <v>680</v>
      </c>
      <c r="U8" s="48">
        <f t="shared" si="2"/>
        <v>10930.50648</v>
      </c>
      <c r="V8" s="43"/>
      <c r="W8" s="156">
        <f>0.085*100</f>
        <v>8.5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9.25" customHeight="1">
      <c r="A9" s="12" t="s">
        <v>56</v>
      </c>
      <c r="B9" s="12" t="s">
        <v>75</v>
      </c>
      <c r="C9" s="15">
        <f>19917.86</f>
        <v>19917.86</v>
      </c>
      <c r="D9" s="141">
        <f>12.45*13</f>
        <v>161.85</v>
      </c>
      <c r="E9" s="15">
        <v>0</v>
      </c>
      <c r="F9" s="15">
        <v>0</v>
      </c>
      <c r="G9" s="195">
        <f>C9/12</f>
        <v>1659.8216666666667</v>
      </c>
      <c r="H9" s="15">
        <f>45.8*12</f>
        <v>549.5999999999999</v>
      </c>
      <c r="I9" s="15"/>
      <c r="J9" s="15"/>
      <c r="K9" s="15"/>
      <c r="L9" s="15"/>
      <c r="M9" s="15"/>
      <c r="N9" s="15">
        <f aca="true" t="shared" si="3" ref="N9:N15">SUM(C9:M9)</f>
        <v>22289.131666666664</v>
      </c>
      <c r="O9" s="15">
        <f t="shared" si="0"/>
        <v>5304.813336666666</v>
      </c>
      <c r="P9" s="15">
        <f>SUM(C9:G9)*0.8*0.036</f>
        <v>626.0985119999999</v>
      </c>
      <c r="Q9" s="195">
        <f t="shared" si="1"/>
        <v>95.24836924248332</v>
      </c>
      <c r="R9" s="15">
        <f>SUM(O9:Q9)</f>
        <v>6026.160217909149</v>
      </c>
      <c r="S9" s="20">
        <v>0</v>
      </c>
      <c r="T9" s="15">
        <f aca="true" t="shared" si="4" ref="T9:T15">N9*0.085</f>
        <v>1894.5761916666665</v>
      </c>
      <c r="U9" s="15">
        <f t="shared" si="2"/>
        <v>30209.86807624248</v>
      </c>
      <c r="V9" s="44"/>
      <c r="W9" s="44">
        <f>0.0255*100</f>
        <v>2.55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53.25" customHeight="1">
      <c r="A10" s="19" t="s">
        <v>91</v>
      </c>
      <c r="B10" s="12" t="s">
        <v>57</v>
      </c>
      <c r="C10" s="15">
        <f>18229.92</f>
        <v>18229.92</v>
      </c>
      <c r="D10" s="141">
        <f>11.39*13</f>
        <v>148.07</v>
      </c>
      <c r="E10" s="15">
        <v>0</v>
      </c>
      <c r="F10" s="15">
        <v>0</v>
      </c>
      <c r="G10" s="195">
        <f>C10/12</f>
        <v>1519.1599999999999</v>
      </c>
      <c r="H10" s="15">
        <f>45.8*12</f>
        <v>549.5999999999999</v>
      </c>
      <c r="I10" s="15"/>
      <c r="J10" s="15"/>
      <c r="K10" s="15"/>
      <c r="L10" s="15"/>
      <c r="M10" s="15"/>
      <c r="N10" s="15">
        <f t="shared" si="3"/>
        <v>20446.749999999996</v>
      </c>
      <c r="O10" s="15">
        <f>N10*0.238</f>
        <v>4866.326499999999</v>
      </c>
      <c r="P10" s="15">
        <f>SUM(C10:G10)*0.8*0.061</f>
        <v>970.98092</v>
      </c>
      <c r="Q10" s="195">
        <f t="shared" si="1"/>
        <v>87.37530124249997</v>
      </c>
      <c r="R10" s="15">
        <f>SUM(O10:Q10)</f>
        <v>5924.6827212425</v>
      </c>
      <c r="S10" s="20">
        <v>0</v>
      </c>
      <c r="T10" s="15">
        <f t="shared" si="4"/>
        <v>1737.9737499999999</v>
      </c>
      <c r="U10" s="15">
        <f t="shared" si="2"/>
        <v>28109.4064712425</v>
      </c>
      <c r="V10" s="134"/>
      <c r="W10" s="9"/>
      <c r="X10" s="9"/>
      <c r="Y10" s="9"/>
      <c r="Z10" s="9"/>
      <c r="AA10" s="9"/>
      <c r="AB10" s="9"/>
      <c r="AC10" s="9"/>
      <c r="AD10" s="9"/>
      <c r="AE10" s="9">
        <f>15584.45-18592.45</f>
        <v>-3008</v>
      </c>
      <c r="AF10" s="9"/>
      <c r="AG10" s="9"/>
      <c r="AH10" s="9"/>
      <c r="AI10" s="9"/>
      <c r="AJ10" s="9"/>
      <c r="AK10" s="9"/>
      <c r="AL10" s="9"/>
    </row>
    <row r="11" spans="1:38" ht="39" customHeight="1">
      <c r="A11" s="197" t="s">
        <v>31</v>
      </c>
      <c r="B11" s="12" t="s">
        <v>62</v>
      </c>
      <c r="C11" s="15">
        <v>0</v>
      </c>
      <c r="D11" s="141">
        <v>0</v>
      </c>
      <c r="E11" s="15">
        <v>0</v>
      </c>
      <c r="F11" s="15">
        <v>0</v>
      </c>
      <c r="G11" s="195">
        <f>(C11+D11+E11+F11)/12</f>
        <v>0</v>
      </c>
      <c r="H11" s="15">
        <v>0</v>
      </c>
      <c r="I11" s="15"/>
      <c r="J11" s="15"/>
      <c r="K11" s="15"/>
      <c r="L11" s="15"/>
      <c r="M11" s="15"/>
      <c r="N11" s="15">
        <f t="shared" si="3"/>
        <v>0</v>
      </c>
      <c r="O11" s="15">
        <f t="shared" si="0"/>
        <v>0</v>
      </c>
      <c r="P11" s="15">
        <f>SUM(C11:G11)*0.8*0.036</f>
        <v>0</v>
      </c>
      <c r="Q11" s="195">
        <f t="shared" si="1"/>
        <v>0</v>
      </c>
      <c r="R11" s="15">
        <f>SUM(O11:Q11)</f>
        <v>0</v>
      </c>
      <c r="S11" s="20">
        <v>0</v>
      </c>
      <c r="T11" s="15">
        <f t="shared" si="4"/>
        <v>0</v>
      </c>
      <c r="U11" s="15">
        <f t="shared" si="2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33" customHeight="1">
      <c r="A12" s="13" t="s">
        <v>65</v>
      </c>
      <c r="B12" s="14" t="s">
        <v>62</v>
      </c>
      <c r="C12" s="20">
        <f>18496.61</f>
        <v>18496.61</v>
      </c>
      <c r="D12" s="144">
        <f>11.56*13</f>
        <v>150.28</v>
      </c>
      <c r="E12" s="15">
        <v>0</v>
      </c>
      <c r="F12" s="20">
        <f>4.61*13</f>
        <v>59.93000000000001</v>
      </c>
      <c r="G12" s="195">
        <f>C12/12</f>
        <v>1541.3841666666667</v>
      </c>
      <c r="H12" s="15">
        <f>39.31*12</f>
        <v>471.72</v>
      </c>
      <c r="I12" s="20"/>
      <c r="J12" s="20"/>
      <c r="K12" s="20"/>
      <c r="L12" s="15"/>
      <c r="M12" s="15"/>
      <c r="N12" s="15">
        <f t="shared" si="3"/>
        <v>20719.924166666668</v>
      </c>
      <c r="O12" s="20">
        <f t="shared" si="0"/>
        <v>4931.341951666666</v>
      </c>
      <c r="P12" s="20">
        <f>SUM(C12:G12)*0.8*0.036</f>
        <v>583.14828</v>
      </c>
      <c r="Q12" s="195">
        <f t="shared" si="1"/>
        <v>88.54265914065833</v>
      </c>
      <c r="R12" s="20">
        <f>O12+P12+Q12</f>
        <v>5603.032890807325</v>
      </c>
      <c r="S12" s="20">
        <v>0</v>
      </c>
      <c r="T12" s="15">
        <f t="shared" si="4"/>
        <v>1761.193554166667</v>
      </c>
      <c r="U12" s="15">
        <f t="shared" si="2"/>
        <v>28084.15061164066</v>
      </c>
      <c r="V12" s="8"/>
      <c r="W12" s="10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43.5" customHeight="1">
      <c r="A13" s="19" t="s">
        <v>132</v>
      </c>
      <c r="B13" s="19" t="s">
        <v>74</v>
      </c>
      <c r="C13" s="137">
        <f>19454.15/36*32</f>
        <v>17292.57777777778</v>
      </c>
      <c r="D13" s="141">
        <f>12.16*13</f>
        <v>158.08</v>
      </c>
      <c r="E13" s="138">
        <v>0</v>
      </c>
      <c r="F13" s="138">
        <v>0</v>
      </c>
      <c r="G13" s="195">
        <f>C13/12</f>
        <v>1441.0481481481484</v>
      </c>
      <c r="H13" s="17">
        <f>(45.08*12)/36*32</f>
        <v>480.85333333333335</v>
      </c>
      <c r="I13" s="17"/>
      <c r="J13" s="17"/>
      <c r="K13" s="17"/>
      <c r="L13" s="15"/>
      <c r="M13" s="15"/>
      <c r="N13" s="15">
        <f t="shared" si="3"/>
        <v>19372.559259259262</v>
      </c>
      <c r="O13" s="17">
        <f>N13*0.238</f>
        <v>4610.669103703704</v>
      </c>
      <c r="P13" s="17">
        <f>SUM(C13:G13)*0.8*0.061</f>
        <v>921.9152491851854</v>
      </c>
      <c r="Q13" s="195">
        <f t="shared" si="1"/>
        <v>82.78495120818519</v>
      </c>
      <c r="R13" s="83">
        <f>O13+P13+Q13</f>
        <v>5615.369304097075</v>
      </c>
      <c r="S13" s="83">
        <v>0</v>
      </c>
      <c r="T13" s="15">
        <f t="shared" si="4"/>
        <v>1646.6675370370374</v>
      </c>
      <c r="U13" s="15">
        <f>N13+R13+T13</f>
        <v>26634.596100393373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49.5" customHeight="1">
      <c r="A14" s="34" t="s">
        <v>17</v>
      </c>
      <c r="B14" s="34" t="s">
        <v>74</v>
      </c>
      <c r="C14" s="169">
        <f>(19454.15/36*24)/12*5</f>
        <v>5403.930555555557</v>
      </c>
      <c r="D14" s="170">
        <f>(12.16*5)/36*24</f>
        <v>40.53333333333333</v>
      </c>
      <c r="E14" s="171">
        <v>0</v>
      </c>
      <c r="F14" s="171">
        <v>0</v>
      </c>
      <c r="G14" s="171">
        <f>C14/12</f>
        <v>450.32754629629636</v>
      </c>
      <c r="H14" s="172">
        <f>(45.08*5)/36*24</f>
        <v>150.26666666666665</v>
      </c>
      <c r="I14" s="172"/>
      <c r="J14" s="172"/>
      <c r="K14" s="172"/>
      <c r="L14" s="173"/>
      <c r="M14" s="173"/>
      <c r="N14" s="173">
        <f t="shared" si="3"/>
        <v>6045.058101851853</v>
      </c>
      <c r="O14" s="172">
        <f>N14*0.238</f>
        <v>1438.723828240741</v>
      </c>
      <c r="P14" s="172">
        <f>SUM(C14:G14)*0.8*0.061</f>
        <v>287.6658220370372</v>
      </c>
      <c r="Q14" s="172">
        <f t="shared" si="1"/>
        <v>25.83240723722454</v>
      </c>
      <c r="R14" s="174">
        <f>O14+P14+Q14</f>
        <v>1752.222057515003</v>
      </c>
      <c r="S14" s="174">
        <f>+N14*1.61/100</f>
        <v>97.32543543981484</v>
      </c>
      <c r="T14" s="173">
        <f t="shared" si="4"/>
        <v>513.8299386574075</v>
      </c>
      <c r="U14" s="173">
        <f>N14+R14+S14+T14</f>
        <v>8408.435533464079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46.5" customHeight="1">
      <c r="A15" s="13" t="s">
        <v>82</v>
      </c>
      <c r="B15" s="14" t="s">
        <v>80</v>
      </c>
      <c r="C15" s="20">
        <f>17531.61</f>
        <v>17531.61</v>
      </c>
      <c r="D15" s="141">
        <f>10.96*13</f>
        <v>142.48000000000002</v>
      </c>
      <c r="E15" s="15">
        <v>0</v>
      </c>
      <c r="F15" s="15">
        <v>0</v>
      </c>
      <c r="G15" s="195">
        <f>C15/12</f>
        <v>1460.9675</v>
      </c>
      <c r="H15" s="15">
        <f>39.31*12</f>
        <v>471.72</v>
      </c>
      <c r="I15" s="20"/>
      <c r="J15" s="20"/>
      <c r="K15" s="20"/>
      <c r="L15" s="15"/>
      <c r="M15" s="15"/>
      <c r="N15" s="15">
        <f t="shared" si="3"/>
        <v>19606.7775</v>
      </c>
      <c r="O15" s="20">
        <f t="shared" si="0"/>
        <v>4666.413045</v>
      </c>
      <c r="P15" s="20">
        <f>SUM(C15:G15)*0.8*0.061</f>
        <v>933.790806</v>
      </c>
      <c r="Q15" s="195">
        <f t="shared" si="1"/>
        <v>83.78583835852498</v>
      </c>
      <c r="R15" s="20">
        <f>O15+P15+Q15</f>
        <v>5683.9896893585255</v>
      </c>
      <c r="S15" s="20">
        <v>0</v>
      </c>
      <c r="T15" s="15">
        <f t="shared" si="4"/>
        <v>1666.5760875</v>
      </c>
      <c r="U15" s="15">
        <f t="shared" si="2"/>
        <v>26957.343276858526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37.5" customHeight="1">
      <c r="A16" s="45" t="s">
        <v>97</v>
      </c>
      <c r="B16" s="12"/>
      <c r="C16" s="15"/>
      <c r="D16" s="15"/>
      <c r="E16" s="15"/>
      <c r="F16" s="15"/>
      <c r="G16" s="196"/>
      <c r="H16" s="15"/>
      <c r="I16" s="15"/>
      <c r="J16" s="15"/>
      <c r="K16" s="15"/>
      <c r="L16" s="48">
        <f>(6400+(6400*25%))</f>
        <v>8000</v>
      </c>
      <c r="M16" s="48"/>
      <c r="N16" s="48">
        <f>L16</f>
        <v>8000</v>
      </c>
      <c r="O16" s="48">
        <f t="shared" si="0"/>
        <v>1904</v>
      </c>
      <c r="P16" s="48">
        <f>6400*0.8*0.061</f>
        <v>312.32</v>
      </c>
      <c r="Q16" s="48">
        <f t="shared" si="1"/>
        <v>34.186479999999996</v>
      </c>
      <c r="R16" s="48">
        <f aca="true" t="shared" si="5" ref="R16:R31">O16+P16+Q16</f>
        <v>2250.50648</v>
      </c>
      <c r="S16" s="48">
        <v>0</v>
      </c>
      <c r="T16" s="48">
        <f>L16*8.5%</f>
        <v>680</v>
      </c>
      <c r="U16" s="48">
        <f>N16+R16+T16</f>
        <v>10930.50648</v>
      </c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8"/>
    </row>
    <row r="17" spans="1:38" ht="36" customHeight="1">
      <c r="A17" s="19" t="s">
        <v>102</v>
      </c>
      <c r="B17" s="12" t="s">
        <v>71</v>
      </c>
      <c r="C17" s="15">
        <f>21166.71</f>
        <v>21166.71</v>
      </c>
      <c r="D17" s="83">
        <f>13.23*13</f>
        <v>171.99</v>
      </c>
      <c r="E17" s="15">
        <v>0</v>
      </c>
      <c r="F17" s="15">
        <v>0</v>
      </c>
      <c r="G17" s="195">
        <f>C17/12</f>
        <v>1763.8925</v>
      </c>
      <c r="H17" s="15">
        <f>51.9*12</f>
        <v>622.8</v>
      </c>
      <c r="I17" s="15"/>
      <c r="J17" s="15"/>
      <c r="K17" s="15"/>
      <c r="L17" s="15"/>
      <c r="M17" s="15"/>
      <c r="N17" s="15">
        <f>SUM(C17:M17)</f>
        <v>23725.392499999998</v>
      </c>
      <c r="O17" s="15">
        <f t="shared" si="0"/>
        <v>5646.643415</v>
      </c>
      <c r="P17" s="15">
        <f>SUM(C17:G17)*0.8*0.061</f>
        <v>1127.406514</v>
      </c>
      <c r="Q17" s="195">
        <f t="shared" si="1"/>
        <v>101.38595702417499</v>
      </c>
      <c r="R17" s="20">
        <f t="shared" si="5"/>
        <v>6875.435886024175</v>
      </c>
      <c r="S17" s="20">
        <v>0</v>
      </c>
      <c r="T17" s="15">
        <f>N17*0.085</f>
        <v>2016.6583625</v>
      </c>
      <c r="U17" s="15">
        <f t="shared" si="2"/>
        <v>32617.48674852417</v>
      </c>
      <c r="V17" s="9"/>
      <c r="W17" s="9"/>
      <c r="X17" s="9"/>
      <c r="Y17" s="104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39.75" customHeight="1">
      <c r="A18" s="12" t="s">
        <v>58</v>
      </c>
      <c r="B18" s="12" t="s">
        <v>62</v>
      </c>
      <c r="C18" s="15">
        <f>18496.61</f>
        <v>18496.61</v>
      </c>
      <c r="D18" s="83">
        <f>11.56*13</f>
        <v>150.28</v>
      </c>
      <c r="E18" s="15">
        <f>13.88*13</f>
        <v>180.44</v>
      </c>
      <c r="F18" s="15">
        <f>4.61*13</f>
        <v>59.93000000000001</v>
      </c>
      <c r="G18" s="195">
        <f>C18/12</f>
        <v>1541.3841666666667</v>
      </c>
      <c r="H18" s="15">
        <f>39.31*12</f>
        <v>471.72</v>
      </c>
      <c r="I18" s="15"/>
      <c r="J18" s="15"/>
      <c r="K18" s="15"/>
      <c r="L18" s="15"/>
      <c r="M18" s="15"/>
      <c r="N18" s="15">
        <f>SUM(C18:M18)</f>
        <v>20900.364166666666</v>
      </c>
      <c r="O18" s="15">
        <f t="shared" si="0"/>
        <v>4974.286671666667</v>
      </c>
      <c r="P18" s="15">
        <f>SUM(C18:G18)*0.8*0.036</f>
        <v>588.3449519999999</v>
      </c>
      <c r="Q18" s="195">
        <f t="shared" si="1"/>
        <v>89.31373519705832</v>
      </c>
      <c r="R18" s="20">
        <f t="shared" si="5"/>
        <v>5651.945358863724</v>
      </c>
      <c r="S18" s="20">
        <v>0</v>
      </c>
      <c r="T18" s="15">
        <f>N18*0.085</f>
        <v>1776.5309541666668</v>
      </c>
      <c r="U18" s="15">
        <f t="shared" si="2"/>
        <v>28328.84047969706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27" customHeight="1">
      <c r="A19" s="19" t="s">
        <v>131</v>
      </c>
      <c r="B19" s="12" t="s">
        <v>90</v>
      </c>
      <c r="C19" s="15">
        <f>21901.32</f>
        <v>21901.32</v>
      </c>
      <c r="D19" s="141">
        <f>13.69*13</f>
        <v>177.97</v>
      </c>
      <c r="E19" s="15">
        <v>0</v>
      </c>
      <c r="F19" s="15">
        <v>0</v>
      </c>
      <c r="G19" s="195">
        <f>C19/12</f>
        <v>1825.11</v>
      </c>
      <c r="H19" s="15">
        <f>45.8*12</f>
        <v>549.5999999999999</v>
      </c>
      <c r="I19" s="15"/>
      <c r="J19" s="15"/>
      <c r="K19" s="15"/>
      <c r="L19" s="15"/>
      <c r="M19" s="15"/>
      <c r="N19" s="15">
        <f>SUM(C19:M19)</f>
        <v>24454</v>
      </c>
      <c r="O19" s="15">
        <f t="shared" si="0"/>
        <v>5820.052</v>
      </c>
      <c r="P19" s="15">
        <f>SUM(C19:G19)*0.8*0.061</f>
        <v>1166.53472</v>
      </c>
      <c r="Q19" s="195">
        <f t="shared" si="1"/>
        <v>104.49952274</v>
      </c>
      <c r="R19" s="20">
        <f t="shared" si="5"/>
        <v>7091.08624274</v>
      </c>
      <c r="S19" s="20"/>
      <c r="T19" s="15">
        <f>N19*0.085</f>
        <v>2078.59</v>
      </c>
      <c r="U19" s="15">
        <f t="shared" si="2"/>
        <v>33623.676242739995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27" customHeight="1">
      <c r="A20" s="13" t="s">
        <v>61</v>
      </c>
      <c r="B20" s="14" t="s">
        <v>74</v>
      </c>
      <c r="C20" s="21">
        <f>19454.15</f>
        <v>19454.15</v>
      </c>
      <c r="D20" s="141">
        <f>12.16*13</f>
        <v>158.08</v>
      </c>
      <c r="E20" s="15">
        <v>0</v>
      </c>
      <c r="F20" s="15">
        <v>0</v>
      </c>
      <c r="G20" s="195">
        <f>C20/12</f>
        <v>1621.1791666666668</v>
      </c>
      <c r="H20" s="15">
        <f>45.8*12</f>
        <v>549.5999999999999</v>
      </c>
      <c r="I20" s="21"/>
      <c r="J20" s="21"/>
      <c r="K20" s="21"/>
      <c r="L20" s="15"/>
      <c r="M20" s="15"/>
      <c r="N20" s="15">
        <f>SUM(C20:M20)</f>
        <v>21783.00916666667</v>
      </c>
      <c r="O20" s="15">
        <f t="shared" si="0"/>
        <v>5184.356181666667</v>
      </c>
      <c r="P20" s="20">
        <f>SUM(C20:G20)*0.8*0.061</f>
        <v>1036.1903673333336</v>
      </c>
      <c r="Q20" s="17">
        <f>N20*0.03434</f>
        <v>748.0285347833335</v>
      </c>
      <c r="R20" s="20">
        <f t="shared" si="5"/>
        <v>6968.575083783334</v>
      </c>
      <c r="S20" s="20">
        <v>0</v>
      </c>
      <c r="T20" s="17">
        <f>N20*0.085</f>
        <v>1851.5557791666672</v>
      </c>
      <c r="U20" s="15">
        <f>N20+R20+T20</f>
        <v>30603.140029616672</v>
      </c>
      <c r="V20" s="9"/>
      <c r="W20" s="9"/>
      <c r="X20" s="9"/>
      <c r="Y20" s="9"/>
      <c r="Z20" s="104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44.25" customHeight="1">
      <c r="A21" s="45" t="s">
        <v>100</v>
      </c>
      <c r="B21" s="46"/>
      <c r="C21" s="47"/>
      <c r="D21" s="141"/>
      <c r="E21" s="48"/>
      <c r="F21" s="47"/>
      <c r="G21" s="113"/>
      <c r="H21" s="48"/>
      <c r="I21" s="49"/>
      <c r="J21" s="49"/>
      <c r="K21" s="49"/>
      <c r="L21" s="48">
        <f>(9500+(9500*25%))</f>
        <v>11875</v>
      </c>
      <c r="M21" s="48"/>
      <c r="N21" s="48">
        <f>L21</f>
        <v>11875</v>
      </c>
      <c r="O21" s="48">
        <f t="shared" si="0"/>
        <v>2826.25</v>
      </c>
      <c r="P21" s="48">
        <f>9500*0.8*0.061</f>
        <v>463.59999999999997</v>
      </c>
      <c r="Q21" s="48">
        <f>L21*0.03434</f>
        <v>407.7875</v>
      </c>
      <c r="R21" s="48">
        <f t="shared" si="5"/>
        <v>3697.6375</v>
      </c>
      <c r="S21" s="20">
        <v>0</v>
      </c>
      <c r="T21" s="48">
        <f>L21*8.5%</f>
        <v>1009.3750000000001</v>
      </c>
      <c r="U21" s="48">
        <f t="shared" si="2"/>
        <v>16582.0125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34.5" customHeight="1">
      <c r="A22" s="13" t="s">
        <v>52</v>
      </c>
      <c r="B22" s="14" t="s">
        <v>71</v>
      </c>
      <c r="C22" s="15">
        <f>21166.71</f>
        <v>21166.71</v>
      </c>
      <c r="D22" s="141">
        <f>13.23*13</f>
        <v>171.99</v>
      </c>
      <c r="E22" s="15">
        <v>0</v>
      </c>
      <c r="F22" s="15">
        <v>0</v>
      </c>
      <c r="G22" s="195">
        <f aca="true" t="shared" si="6" ref="G22:G31">C22/12</f>
        <v>1763.8925</v>
      </c>
      <c r="H22" s="15">
        <f>51.9*12</f>
        <v>622.8</v>
      </c>
      <c r="I22" s="21"/>
      <c r="J22" s="21"/>
      <c r="K22" s="21"/>
      <c r="L22" s="15"/>
      <c r="M22" s="15"/>
      <c r="N22" s="15">
        <f>SUM(C22:M22)</f>
        <v>23725.392499999998</v>
      </c>
      <c r="O22" s="17">
        <f t="shared" si="0"/>
        <v>5646.643415</v>
      </c>
      <c r="P22" s="20">
        <f>SUM(C22:G22)*0.8*0.061</f>
        <v>1127.406514</v>
      </c>
      <c r="Q22" s="17">
        <f>N22*0.03434</f>
        <v>814.72997845</v>
      </c>
      <c r="R22" s="20">
        <f t="shared" si="5"/>
        <v>7588.77990745</v>
      </c>
      <c r="S22" s="20">
        <v>0</v>
      </c>
      <c r="T22" s="17">
        <f>N22*0.085</f>
        <v>2016.6583625</v>
      </c>
      <c r="U22" s="15">
        <f>N22+R22+T22</f>
        <v>33330.83076995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30" customHeight="1">
      <c r="A23" s="14" t="s">
        <v>59</v>
      </c>
      <c r="B23" s="14" t="s">
        <v>92</v>
      </c>
      <c r="C23" s="20">
        <f>20472.62</f>
        <v>20472.62</v>
      </c>
      <c r="D23" s="137">
        <f>12.8*13</f>
        <v>166.4</v>
      </c>
      <c r="E23" s="15">
        <v>0</v>
      </c>
      <c r="F23" s="15">
        <v>0</v>
      </c>
      <c r="G23" s="195">
        <f t="shared" si="6"/>
        <v>1706.0516666666665</v>
      </c>
      <c r="H23" s="15">
        <f>45.8*12</f>
        <v>549.5999999999999</v>
      </c>
      <c r="I23" s="20"/>
      <c r="J23" s="20"/>
      <c r="K23" s="20"/>
      <c r="L23" s="15"/>
      <c r="M23" s="15"/>
      <c r="N23" s="15">
        <f aca="true" t="shared" si="7" ref="N23:N31">SUM(C23:M23)</f>
        <v>22894.671666666665</v>
      </c>
      <c r="O23" s="20">
        <f t="shared" si="0"/>
        <v>5448.931856666666</v>
      </c>
      <c r="P23" s="20">
        <f>SUM(C23:G23)*0.8*0.036</f>
        <v>643.538064</v>
      </c>
      <c r="Q23" s="17">
        <f>N23*0.03434</f>
        <v>786.2030250333333</v>
      </c>
      <c r="R23" s="20">
        <f t="shared" si="5"/>
        <v>6878.6729457</v>
      </c>
      <c r="S23" s="20">
        <v>0</v>
      </c>
      <c r="T23" s="17">
        <f>N23*0.085</f>
        <v>1946.0470916666666</v>
      </c>
      <c r="U23" s="15">
        <f t="shared" si="2"/>
        <v>31719.391704033333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53.25" customHeight="1">
      <c r="A24" s="59" t="s">
        <v>0</v>
      </c>
      <c r="B24" s="65" t="s">
        <v>75</v>
      </c>
      <c r="C24" s="61">
        <f>19917.86</f>
        <v>19917.86</v>
      </c>
      <c r="D24" s="157">
        <f>12.45*13</f>
        <v>161.85</v>
      </c>
      <c r="E24" s="60">
        <v>0</v>
      </c>
      <c r="F24" s="60">
        <v>0</v>
      </c>
      <c r="G24" s="60">
        <f t="shared" si="6"/>
        <v>1659.8216666666667</v>
      </c>
      <c r="H24" s="60">
        <f>45.8*12</f>
        <v>549.5999999999999</v>
      </c>
      <c r="I24" s="61"/>
      <c r="J24" s="61"/>
      <c r="K24" s="61"/>
      <c r="L24" s="60"/>
      <c r="M24" s="60"/>
      <c r="N24" s="60">
        <f>SUM(C24:M24)</f>
        <v>22289.131666666664</v>
      </c>
      <c r="O24" s="61">
        <f t="shared" si="0"/>
        <v>5304.813336666666</v>
      </c>
      <c r="P24" s="61">
        <f>SUM(C24:G24)*0.8*0.061</f>
        <v>1060.8891453333333</v>
      </c>
      <c r="Q24" s="160">
        <f>N24*0.03434</f>
        <v>765.4087814333333</v>
      </c>
      <c r="R24" s="61">
        <f>O24+P24+Q24</f>
        <v>7131.111263433333</v>
      </c>
      <c r="S24" s="61">
        <v>0</v>
      </c>
      <c r="T24" s="160"/>
      <c r="U24" s="60">
        <f>N24+R24+T24</f>
        <v>29420.242930099997</v>
      </c>
      <c r="V24" s="9"/>
      <c r="W24" s="9"/>
      <c r="X24" s="9"/>
      <c r="Y24" s="9"/>
      <c r="Z24" s="9"/>
      <c r="AA24" s="9"/>
      <c r="AB24" s="130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38.25" customHeight="1">
      <c r="A25" s="19" t="s">
        <v>101</v>
      </c>
      <c r="B25" s="12" t="s">
        <v>74</v>
      </c>
      <c r="C25" s="21">
        <f>19454.15</f>
        <v>19454.15</v>
      </c>
      <c r="D25" s="137">
        <f>12.16*13</f>
        <v>158.08</v>
      </c>
      <c r="E25" s="15">
        <v>0</v>
      </c>
      <c r="F25" s="15">
        <v>0</v>
      </c>
      <c r="G25" s="195">
        <f t="shared" si="6"/>
        <v>1621.1791666666668</v>
      </c>
      <c r="H25" s="15">
        <f>45.8*12</f>
        <v>549.5999999999999</v>
      </c>
      <c r="I25" s="23"/>
      <c r="J25" s="82"/>
      <c r="K25" s="82"/>
      <c r="L25" s="48"/>
      <c r="M25" s="27"/>
      <c r="N25" s="15">
        <f t="shared" si="7"/>
        <v>21783.00916666667</v>
      </c>
      <c r="O25" s="23">
        <f>N25*0.238</f>
        <v>5184.356181666667</v>
      </c>
      <c r="P25" s="83">
        <f>SUM(C25:G25)*0.8*0.061</f>
        <v>1036.1903673333336</v>
      </c>
      <c r="Q25" s="195">
        <f>N25*0.00505-N25*0.00505*15.38%</f>
        <v>93.08555090200835</v>
      </c>
      <c r="R25" s="83">
        <f t="shared" si="5"/>
        <v>6313.632099902009</v>
      </c>
      <c r="S25" s="20">
        <v>0</v>
      </c>
      <c r="T25" s="23">
        <f aca="true" t="shared" si="8" ref="T25:T31">N25*0.085</f>
        <v>1851.5557791666672</v>
      </c>
      <c r="U25" s="15">
        <f>N25+R25+T25</f>
        <v>29948.19704573535</v>
      </c>
      <c r="V25" s="9"/>
      <c r="W25" s="9" t="s">
        <v>126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24.75" customHeight="1">
      <c r="A26" s="14" t="s">
        <v>60</v>
      </c>
      <c r="B26" s="14" t="s">
        <v>75</v>
      </c>
      <c r="C26" s="20">
        <f>19917.86</f>
        <v>19917.86</v>
      </c>
      <c r="D26" s="144">
        <f>12.45*13</f>
        <v>161.85</v>
      </c>
      <c r="E26" s="15">
        <v>0</v>
      </c>
      <c r="F26" s="15">
        <v>0</v>
      </c>
      <c r="G26" s="195">
        <f t="shared" si="6"/>
        <v>1659.8216666666667</v>
      </c>
      <c r="H26" s="15">
        <f>45.8*12</f>
        <v>549.5999999999999</v>
      </c>
      <c r="I26" s="20"/>
      <c r="J26" s="20"/>
      <c r="K26" s="20"/>
      <c r="L26" s="15"/>
      <c r="M26" s="15"/>
      <c r="N26" s="15">
        <f t="shared" si="7"/>
        <v>22289.131666666664</v>
      </c>
      <c r="O26" s="23">
        <f>N26*0.238</f>
        <v>5304.813336666666</v>
      </c>
      <c r="P26" s="20">
        <f>SUM(C26:G26)*0.8*0.061</f>
        <v>1060.8891453333333</v>
      </c>
      <c r="Q26" s="17">
        <f>N26*0.03434</f>
        <v>765.4087814333333</v>
      </c>
      <c r="R26" s="20">
        <f t="shared" si="5"/>
        <v>7131.111263433333</v>
      </c>
      <c r="S26" s="20">
        <v>0</v>
      </c>
      <c r="T26" s="17">
        <f t="shared" si="8"/>
        <v>1894.5761916666665</v>
      </c>
      <c r="U26" s="15">
        <f t="shared" si="2"/>
        <v>31314.819121766664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25.5" customHeight="1">
      <c r="A27" s="14" t="s">
        <v>83</v>
      </c>
      <c r="B27" s="14" t="s">
        <v>80</v>
      </c>
      <c r="C27" s="20">
        <f>17531.61</f>
        <v>17531.61</v>
      </c>
      <c r="D27" s="83">
        <f>10.96*13</f>
        <v>142.48000000000002</v>
      </c>
      <c r="E27" s="119">
        <f>183.14*13</f>
        <v>2380.8199999999997</v>
      </c>
      <c r="F27" s="15">
        <v>0</v>
      </c>
      <c r="G27" s="195">
        <f t="shared" si="6"/>
        <v>1460.9675</v>
      </c>
      <c r="H27" s="15">
        <f>39.31*12</f>
        <v>471.72</v>
      </c>
      <c r="I27" s="20">
        <v>1306.81</v>
      </c>
      <c r="J27" s="20"/>
      <c r="K27" s="20"/>
      <c r="L27" s="15"/>
      <c r="M27" s="15"/>
      <c r="N27" s="15">
        <f t="shared" si="7"/>
        <v>23294.4075</v>
      </c>
      <c r="O27" s="20">
        <f aca="true" t="shared" si="9" ref="O27:O43">N27*0.238</f>
        <v>5544.068985</v>
      </c>
      <c r="P27" s="20">
        <f>SUM(C27:G27)*0.8*0.036</f>
        <v>619.657272</v>
      </c>
      <c r="Q27" s="10">
        <f>N27*0.03434</f>
        <v>799.92995355</v>
      </c>
      <c r="R27" s="20">
        <f t="shared" si="5"/>
        <v>6963.656210550001</v>
      </c>
      <c r="S27" s="20">
        <v>0</v>
      </c>
      <c r="T27" s="17">
        <f t="shared" si="8"/>
        <v>1980.0246375000002</v>
      </c>
      <c r="U27" s="15">
        <f t="shared" si="2"/>
        <v>32238.08834805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28.5" customHeight="1">
      <c r="A28" s="14" t="s">
        <v>84</v>
      </c>
      <c r="B28" s="14" t="s">
        <v>62</v>
      </c>
      <c r="C28" s="15">
        <f>18496.61</f>
        <v>18496.61</v>
      </c>
      <c r="D28" s="83">
        <f>11.56*13</f>
        <v>150.28</v>
      </c>
      <c r="E28" s="15">
        <v>0</v>
      </c>
      <c r="F28" s="20">
        <f>4.61*13</f>
        <v>59.93000000000001</v>
      </c>
      <c r="G28" s="195">
        <f t="shared" si="6"/>
        <v>1541.3841666666667</v>
      </c>
      <c r="H28" s="15">
        <f>39.31*12</f>
        <v>471.72</v>
      </c>
      <c r="I28" s="20"/>
      <c r="J28" s="20"/>
      <c r="K28" s="20"/>
      <c r="L28" s="15"/>
      <c r="M28" s="15"/>
      <c r="N28" s="15">
        <f t="shared" si="7"/>
        <v>20719.924166666668</v>
      </c>
      <c r="O28" s="20">
        <f t="shared" si="9"/>
        <v>4931.341951666666</v>
      </c>
      <c r="P28" s="20">
        <f>SUM(C28:G28)*0.8*0.061</f>
        <v>988.1123633333333</v>
      </c>
      <c r="Q28" s="10">
        <f>N28*0.03434</f>
        <v>711.5221958833334</v>
      </c>
      <c r="R28" s="20">
        <f t="shared" si="5"/>
        <v>6630.9765108833335</v>
      </c>
      <c r="S28" s="20">
        <v>0</v>
      </c>
      <c r="T28" s="17">
        <f t="shared" si="8"/>
        <v>1761.193554166667</v>
      </c>
      <c r="U28" s="15">
        <f t="shared" si="2"/>
        <v>29112.09423171667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22.5" customHeight="1">
      <c r="A29" s="14" t="s">
        <v>85</v>
      </c>
      <c r="B29" s="14" t="s">
        <v>63</v>
      </c>
      <c r="C29" s="20">
        <f>16533.95</f>
        <v>16533.95</v>
      </c>
      <c r="D29" s="137">
        <f>10.33*13</f>
        <v>134.29</v>
      </c>
      <c r="E29" s="15">
        <v>0</v>
      </c>
      <c r="F29" s="15">
        <v>0</v>
      </c>
      <c r="G29" s="195">
        <f t="shared" si="6"/>
        <v>1377.8291666666667</v>
      </c>
      <c r="H29" s="20">
        <f>32.4*12</f>
        <v>388.79999999999995</v>
      </c>
      <c r="I29" s="20"/>
      <c r="J29" s="20"/>
      <c r="K29" s="20"/>
      <c r="L29" s="15"/>
      <c r="M29" s="15"/>
      <c r="N29" s="15">
        <f t="shared" si="7"/>
        <v>18434.869166666667</v>
      </c>
      <c r="O29" s="20">
        <f t="shared" si="9"/>
        <v>4387.498861666667</v>
      </c>
      <c r="P29" s="20">
        <f>SUM(C29:G29)*0.8*0.061</f>
        <v>880.6481753333334</v>
      </c>
      <c r="Q29" s="10">
        <f>N29*0.03434</f>
        <v>633.0534071833334</v>
      </c>
      <c r="R29" s="20">
        <f t="shared" si="5"/>
        <v>5901.200444183334</v>
      </c>
      <c r="S29" s="20">
        <v>0</v>
      </c>
      <c r="T29" s="17">
        <f t="shared" si="8"/>
        <v>1566.9638791666669</v>
      </c>
      <c r="U29" s="15">
        <f t="shared" si="2"/>
        <v>25903.033490016667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28.5" customHeight="1">
      <c r="A30" s="12" t="s">
        <v>53</v>
      </c>
      <c r="B30" s="12" t="s">
        <v>62</v>
      </c>
      <c r="C30" s="15">
        <f>18496.61</f>
        <v>18496.61</v>
      </c>
      <c r="D30" s="119">
        <f>11.56*13</f>
        <v>150.28</v>
      </c>
      <c r="E30" s="23">
        <f>19.72*13</f>
        <v>256.36</v>
      </c>
      <c r="F30" s="23">
        <f>4.61*13</f>
        <v>59.93000000000001</v>
      </c>
      <c r="G30" s="195">
        <f t="shared" si="6"/>
        <v>1541.3841666666667</v>
      </c>
      <c r="H30" s="15">
        <f>39.31*12</f>
        <v>471.72</v>
      </c>
      <c r="I30" s="23"/>
      <c r="J30" s="23"/>
      <c r="K30" s="23"/>
      <c r="L30" s="15"/>
      <c r="M30" s="15"/>
      <c r="N30" s="15">
        <f t="shared" si="7"/>
        <v>20976.284166666668</v>
      </c>
      <c r="O30" s="23">
        <f t="shared" si="9"/>
        <v>4992.355631666667</v>
      </c>
      <c r="P30" s="20">
        <f>SUM(C30:G30)*0.8*0.036</f>
        <v>590.5314480000001</v>
      </c>
      <c r="Q30" s="10">
        <f>N30*0.03434</f>
        <v>720.3255982833334</v>
      </c>
      <c r="R30" s="20">
        <f t="shared" si="5"/>
        <v>6303.21267795</v>
      </c>
      <c r="S30" s="20">
        <v>0</v>
      </c>
      <c r="T30" s="23">
        <f t="shared" si="8"/>
        <v>1782.984154166667</v>
      </c>
      <c r="U30" s="15">
        <f t="shared" si="2"/>
        <v>29062.480998783336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43.5" customHeight="1">
      <c r="A31" s="59" t="s">
        <v>124</v>
      </c>
      <c r="B31" s="65" t="s">
        <v>79</v>
      </c>
      <c r="C31" s="62">
        <f>22203.89</f>
        <v>22203.89</v>
      </c>
      <c r="D31" s="62">
        <f>13.88*13</f>
        <v>180.44</v>
      </c>
      <c r="E31" s="60">
        <v>0</v>
      </c>
      <c r="F31" s="60">
        <v>0</v>
      </c>
      <c r="G31" s="60">
        <f t="shared" si="6"/>
        <v>1850.3241666666665</v>
      </c>
      <c r="H31" s="60">
        <f>51.9*12</f>
        <v>622.8</v>
      </c>
      <c r="I31" s="51">
        <f>(92.57*12)</f>
        <v>1110.84</v>
      </c>
      <c r="J31" s="62"/>
      <c r="K31" s="62"/>
      <c r="L31" s="62"/>
      <c r="M31" s="63"/>
      <c r="N31" s="63">
        <f t="shared" si="7"/>
        <v>25968.294166666663</v>
      </c>
      <c r="O31" s="62">
        <f t="shared" si="9"/>
        <v>6180.454011666666</v>
      </c>
      <c r="P31" s="61">
        <f>(C31+D31+E31+F31+G31+I31)*0.8*0.061</f>
        <v>1236.8601153333334</v>
      </c>
      <c r="Q31" s="64">
        <f>N31*0.0101-N31*0.0101*15.38%</f>
        <v>221.9411422907166</v>
      </c>
      <c r="R31" s="61">
        <f t="shared" si="5"/>
        <v>7639.255269290717</v>
      </c>
      <c r="S31" s="61">
        <v>0</v>
      </c>
      <c r="T31" s="62">
        <f t="shared" si="8"/>
        <v>2207.3050041666665</v>
      </c>
      <c r="U31" s="60">
        <f>N31+R31+T31</f>
        <v>35814.85444012404</v>
      </c>
      <c r="V31" s="78">
        <f>+U31*30.56%</f>
        <v>10945.019516901906</v>
      </c>
      <c r="W31" s="122">
        <f>+V31/2</f>
        <v>5472.509758450953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ht="42.75" customHeight="1">
      <c r="A32" s="77" t="s">
        <v>98</v>
      </c>
      <c r="B32" s="79" t="s">
        <v>79</v>
      </c>
      <c r="C32" s="80"/>
      <c r="D32" s="80"/>
      <c r="E32" s="76"/>
      <c r="F32" s="80"/>
      <c r="G32" s="76"/>
      <c r="H32" s="76"/>
      <c r="I32" s="75"/>
      <c r="J32" s="75"/>
      <c r="K32" s="75"/>
      <c r="L32" s="76"/>
      <c r="M32" s="76"/>
      <c r="N32" s="76"/>
      <c r="O32" s="76"/>
      <c r="P32" s="76"/>
      <c r="Q32" s="76"/>
      <c r="R32" s="76"/>
      <c r="S32" s="61">
        <v>0</v>
      </c>
      <c r="T32" s="76"/>
      <c r="U32" s="76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ht="42.75" customHeight="1">
      <c r="A33" s="59" t="s">
        <v>45</v>
      </c>
      <c r="B33" s="65" t="s">
        <v>74</v>
      </c>
      <c r="C33" s="62">
        <f>(19454.15/36*18)/2</f>
        <v>4863.5375</v>
      </c>
      <c r="D33" s="62">
        <f>((12.16/36*18)*13)/2</f>
        <v>39.52</v>
      </c>
      <c r="E33" s="60">
        <v>0</v>
      </c>
      <c r="F33" s="60">
        <v>0</v>
      </c>
      <c r="G33" s="60">
        <f>C33/12</f>
        <v>405.2947916666667</v>
      </c>
      <c r="H33" s="60">
        <f>((45.8*12)/36*18)/2</f>
        <v>137.39999999999998</v>
      </c>
      <c r="I33" s="51">
        <f>((65.02*12)/36*18)/2</f>
        <v>195.06</v>
      </c>
      <c r="J33" s="62"/>
      <c r="K33" s="62"/>
      <c r="L33" s="62"/>
      <c r="M33" s="63"/>
      <c r="N33" s="63">
        <f>SUM(C33:M33)</f>
        <v>5640.812291666668</v>
      </c>
      <c r="O33" s="63">
        <f>N33*0.238</f>
        <v>1342.513325416667</v>
      </c>
      <c r="P33" s="62">
        <f>(C33+D33+E33+F33+G33+I33)*0.8*0.061</f>
        <v>268.5665198333334</v>
      </c>
      <c r="Q33" s="62">
        <f>N33*0.0101-N33*0.0101*15.38%</f>
        <v>48.20987914820417</v>
      </c>
      <c r="R33" s="60">
        <f>O33+P33+Q33</f>
        <v>1659.2897243982045</v>
      </c>
      <c r="S33" s="60">
        <v>0</v>
      </c>
      <c r="T33" s="60">
        <f>N33*0.085</f>
        <v>479.4690447916668</v>
      </c>
      <c r="U33" s="60">
        <f>N33+R33+S33+T33</f>
        <v>7779.571060856539</v>
      </c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1:38" ht="42.75" customHeight="1">
      <c r="A34" s="38" t="s">
        <v>13</v>
      </c>
      <c r="B34" s="178" t="s">
        <v>74</v>
      </c>
      <c r="C34" s="164">
        <f>(1621.18*5)/36*30</f>
        <v>6754.916666666667</v>
      </c>
      <c r="D34" s="165">
        <f>(12.16/36*30)*5</f>
        <v>50.666666666666664</v>
      </c>
      <c r="E34" s="163">
        <v>0</v>
      </c>
      <c r="F34" s="163">
        <v>0</v>
      </c>
      <c r="G34" s="163">
        <f>(C34+D34+E34+F34)/12</f>
        <v>567.1319444444445</v>
      </c>
      <c r="H34" s="163">
        <f>(45.8*5)/36*30</f>
        <v>190.83333333333331</v>
      </c>
      <c r="I34" s="51">
        <f>(65.02*5)/36*30</f>
        <v>270.91666666666663</v>
      </c>
      <c r="J34" s="23"/>
      <c r="K34" s="23"/>
      <c r="L34" s="23"/>
      <c r="M34" s="27"/>
      <c r="N34" s="166">
        <f>SUM(C34:M34)</f>
        <v>7834.465277777778</v>
      </c>
      <c r="O34" s="165">
        <f>N34*0.238</f>
        <v>1864.6027361111112</v>
      </c>
      <c r="P34" s="164">
        <f>(C34+D34+E34+F34+G34+I34)*0.8*0.061</f>
        <v>373.00923888888894</v>
      </c>
      <c r="Q34" s="167">
        <f>N34*0.0101-N34*0.0101*15.38%</f>
        <v>66.9581976323611</v>
      </c>
      <c r="R34" s="164">
        <f>O34+P34+Q34</f>
        <v>2304.5701726323614</v>
      </c>
      <c r="S34" s="164">
        <f>+N34*1.61%</f>
        <v>126.13489097222222</v>
      </c>
      <c r="T34" s="165">
        <f>N34*0.085</f>
        <v>665.9295486111112</v>
      </c>
      <c r="U34" s="163">
        <f>N34+R34+S34+T34</f>
        <v>10931.099889993473</v>
      </c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ht="47.25" customHeight="1">
      <c r="A35" s="38" t="s">
        <v>13</v>
      </c>
      <c r="B35" s="178" t="s">
        <v>74</v>
      </c>
      <c r="C35" s="164">
        <f>(1621.18*5)/36*30</f>
        <v>6754.916666666667</v>
      </c>
      <c r="D35" s="165">
        <f>(12.16/36*30)*5</f>
        <v>50.666666666666664</v>
      </c>
      <c r="E35" s="163">
        <v>0</v>
      </c>
      <c r="F35" s="163">
        <v>0</v>
      </c>
      <c r="G35" s="163">
        <f>(C35+D35+E35+F35)/12</f>
        <v>567.1319444444445</v>
      </c>
      <c r="H35" s="163">
        <f>(45.8*5)/36*30</f>
        <v>190.83333333333331</v>
      </c>
      <c r="I35" s="51">
        <f>(65.02*5)/36*30</f>
        <v>270.91666666666663</v>
      </c>
      <c r="J35" s="23"/>
      <c r="K35" s="23"/>
      <c r="L35" s="23"/>
      <c r="M35" s="27"/>
      <c r="N35" s="166">
        <f>SUM(C35:M35)</f>
        <v>7834.465277777778</v>
      </c>
      <c r="O35" s="165">
        <f>N35*0.238</f>
        <v>1864.6027361111112</v>
      </c>
      <c r="P35" s="164">
        <f>(C35+D35+E35+F35+G35+I35)*0.8*0.061</f>
        <v>373.00923888888894</v>
      </c>
      <c r="Q35" s="167">
        <f>N35*0.0101-N35*0.0101*15.38%</f>
        <v>66.9581976323611</v>
      </c>
      <c r="R35" s="164">
        <f>O35+P35+Q35</f>
        <v>2304.5701726323614</v>
      </c>
      <c r="S35" s="164">
        <f>+N35*1.61%</f>
        <v>126.13489097222222</v>
      </c>
      <c r="T35" s="165">
        <f>N35*0.085</f>
        <v>665.9295486111112</v>
      </c>
      <c r="U35" s="163">
        <f>N35+R35+S35+T35</f>
        <v>10931.099889993473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  <row r="36" spans="1:38" ht="47.25" customHeight="1">
      <c r="A36" s="38" t="s">
        <v>16</v>
      </c>
      <c r="B36" s="178" t="s">
        <v>71</v>
      </c>
      <c r="C36" s="175">
        <f>(21166.71/12*4)/36*18</f>
        <v>3527.785</v>
      </c>
      <c r="D36" s="175">
        <f>(13.23*4)/36*18</f>
        <v>26.46</v>
      </c>
      <c r="E36" s="163">
        <v>0</v>
      </c>
      <c r="F36" s="163">
        <v>0</v>
      </c>
      <c r="G36" s="163">
        <f>(C36+D36+E36+F36)/12</f>
        <v>296.1870833333333</v>
      </c>
      <c r="H36" s="163">
        <f>(51.9*4)/36*18</f>
        <v>103.8</v>
      </c>
      <c r="I36" s="165"/>
      <c r="J36" s="176"/>
      <c r="K36" s="176"/>
      <c r="L36" s="177"/>
      <c r="M36" s="166"/>
      <c r="N36" s="163">
        <f>SUM(C36:M36)</f>
        <v>3954.2320833333333</v>
      </c>
      <c r="O36" s="165">
        <f>N36*0.238</f>
        <v>941.1072358333333</v>
      </c>
      <c r="P36" s="164">
        <f>SUM(C36:G36)*0.8*0.061</f>
        <v>187.90108566666666</v>
      </c>
      <c r="Q36" s="167">
        <f>N36*0.03434</f>
        <v>135.78832974166667</v>
      </c>
      <c r="R36" s="164">
        <f>O36+P36+Q36</f>
        <v>1264.7966512416667</v>
      </c>
      <c r="S36" s="164">
        <f>+N36*1.61%</f>
        <v>63.66313654166667</v>
      </c>
      <c r="T36" s="165">
        <f>N36*0.085</f>
        <v>336.1097270833334</v>
      </c>
      <c r="U36" s="163">
        <f>N36+R36+S36+T36</f>
        <v>5618.801598200001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1:38" ht="46.5" customHeight="1">
      <c r="A37" s="22" t="s">
        <v>129</v>
      </c>
      <c r="B37" s="18" t="s">
        <v>74</v>
      </c>
      <c r="C37" s="121"/>
      <c r="D37" s="121"/>
      <c r="E37" s="16"/>
      <c r="F37" s="16"/>
      <c r="G37" s="28"/>
      <c r="H37" s="25"/>
      <c r="I37" s="25"/>
      <c r="J37" s="25"/>
      <c r="K37" s="25"/>
      <c r="L37" s="36"/>
      <c r="M37" s="36"/>
      <c r="N37" s="25"/>
      <c r="O37" s="25"/>
      <c r="P37" s="26"/>
      <c r="Q37" s="11"/>
      <c r="R37" s="26"/>
      <c r="S37" s="26">
        <v>0</v>
      </c>
      <c r="T37" s="25"/>
      <c r="U37" s="16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33.75" customHeight="1">
      <c r="A38" s="22" t="s">
        <v>5</v>
      </c>
      <c r="B38" s="18" t="s">
        <v>71</v>
      </c>
      <c r="C38" s="25"/>
      <c r="D38" s="25"/>
      <c r="E38" s="106"/>
      <c r="F38" s="106"/>
      <c r="G38" s="28"/>
      <c r="H38" s="25"/>
      <c r="I38" s="106"/>
      <c r="J38" s="106"/>
      <c r="K38" s="106"/>
      <c r="L38" s="106"/>
      <c r="M38" s="106"/>
      <c r="N38" s="25"/>
      <c r="O38" s="25"/>
      <c r="P38" s="26"/>
      <c r="Q38" s="11"/>
      <c r="R38" s="26"/>
      <c r="S38" s="26">
        <v>0</v>
      </c>
      <c r="T38" s="25"/>
      <c r="U38" s="16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48" customHeight="1">
      <c r="A39" s="22" t="s">
        <v>6</v>
      </c>
      <c r="B39" s="18" t="s">
        <v>74</v>
      </c>
      <c r="C39" s="121"/>
      <c r="D39" s="121"/>
      <c r="E39" s="16"/>
      <c r="F39" s="16"/>
      <c r="G39" s="28"/>
      <c r="H39" s="16"/>
      <c r="I39" s="25"/>
      <c r="J39" s="135"/>
      <c r="K39" s="135"/>
      <c r="L39" s="136"/>
      <c r="M39" s="36"/>
      <c r="N39" s="16"/>
      <c r="O39" s="25"/>
      <c r="P39" s="26"/>
      <c r="Q39" s="11"/>
      <c r="R39" s="26"/>
      <c r="S39" s="26">
        <v>0</v>
      </c>
      <c r="T39" s="25"/>
      <c r="U39" s="16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33.75" customHeight="1">
      <c r="A40" s="19" t="s">
        <v>66</v>
      </c>
      <c r="B40" s="12" t="s">
        <v>55</v>
      </c>
      <c r="C40" s="23">
        <f>24338.14</f>
        <v>24338.14</v>
      </c>
      <c r="D40" s="83">
        <f>15.21*13</f>
        <v>197.73000000000002</v>
      </c>
      <c r="E40" s="35">
        <v>0</v>
      </c>
      <c r="F40" s="23">
        <f>2.31*13</f>
        <v>30.03</v>
      </c>
      <c r="G40" s="195">
        <f>C40/12</f>
        <v>2028.1783333333333</v>
      </c>
      <c r="H40" s="15">
        <f>51.9*12</f>
        <v>622.8</v>
      </c>
      <c r="I40" s="23"/>
      <c r="J40" s="23"/>
      <c r="K40" s="23"/>
      <c r="L40" s="23"/>
      <c r="M40" s="35"/>
      <c r="N40" s="23">
        <f>SUM(C40:M40)</f>
        <v>27216.87833333333</v>
      </c>
      <c r="O40" s="23">
        <f t="shared" si="9"/>
        <v>6477.617043333333</v>
      </c>
      <c r="P40" s="20">
        <f>SUM(C40:G40)*0.8*0.036</f>
        <v>765.9094559999999</v>
      </c>
      <c r="Q40" s="28">
        <f>N40*0.00505-N40*0.00505*15.38%</f>
        <v>116.30615835061664</v>
      </c>
      <c r="R40" s="20">
        <f>O40+P40+Q40</f>
        <v>7359.83265768395</v>
      </c>
      <c r="S40" s="20">
        <v>0</v>
      </c>
      <c r="T40" s="23">
        <f>N40*0.085</f>
        <v>2313.434658333333</v>
      </c>
      <c r="U40" s="15">
        <f>N40+R40+T40</f>
        <v>36890.14564935061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2" customHeight="1">
      <c r="A41" s="45" t="s">
        <v>87</v>
      </c>
      <c r="B41" s="46" t="s">
        <v>55</v>
      </c>
      <c r="C41" s="47"/>
      <c r="D41" s="23"/>
      <c r="E41" s="48"/>
      <c r="F41" s="47"/>
      <c r="G41" s="113"/>
      <c r="H41" s="48"/>
      <c r="I41" s="49"/>
      <c r="J41" s="49"/>
      <c r="K41" s="49"/>
      <c r="L41" s="48">
        <f>(6400+(6400*25%))</f>
        <v>8000</v>
      </c>
      <c r="M41" s="48"/>
      <c r="N41" s="48">
        <f>L41</f>
        <v>8000</v>
      </c>
      <c r="O41" s="48">
        <f t="shared" si="9"/>
        <v>1904</v>
      </c>
      <c r="P41" s="48">
        <f>6400*0.8*0.036</f>
        <v>184.32</v>
      </c>
      <c r="Q41" s="28">
        <f>N41*0.00505-N41*0.00505*15.38%</f>
        <v>34.186479999999996</v>
      </c>
      <c r="R41" s="48">
        <f>O41+P41+Q41</f>
        <v>2122.50648</v>
      </c>
      <c r="S41" s="20">
        <v>0</v>
      </c>
      <c r="T41" s="48">
        <f>L41*8.5%</f>
        <v>680</v>
      </c>
      <c r="U41" s="48">
        <f>N41+R41+T41</f>
        <v>10802.50648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54" customHeight="1">
      <c r="A42" s="19" t="s">
        <v>1</v>
      </c>
      <c r="B42" s="19" t="s">
        <v>71</v>
      </c>
      <c r="C42" s="23">
        <f>21166.71</f>
        <v>21166.71</v>
      </c>
      <c r="D42" s="83">
        <f>13.23*13</f>
        <v>171.99</v>
      </c>
      <c r="E42" s="27">
        <v>0</v>
      </c>
      <c r="F42" s="27">
        <v>0</v>
      </c>
      <c r="G42" s="195">
        <f>C42/12</f>
        <v>1763.8925</v>
      </c>
      <c r="H42" s="15">
        <f>51.9*12</f>
        <v>622.8</v>
      </c>
      <c r="I42" s="23"/>
      <c r="J42" s="23"/>
      <c r="K42" s="23"/>
      <c r="L42" s="27"/>
      <c r="M42" s="27"/>
      <c r="N42" s="23">
        <f>SUM(C42:M42)</f>
        <v>23725.392499999998</v>
      </c>
      <c r="O42" s="23">
        <f t="shared" si="9"/>
        <v>5646.643415</v>
      </c>
      <c r="P42" s="83">
        <f>SUM(C42:G42)*0.8*0.061</f>
        <v>1127.406514</v>
      </c>
      <c r="Q42" s="28">
        <f>N42*0.00505-N42*0.00505*15.38%</f>
        <v>101.38595702417499</v>
      </c>
      <c r="R42" s="83">
        <f>O42+P42+Q42</f>
        <v>6875.435886024175</v>
      </c>
      <c r="S42" s="20">
        <v>0</v>
      </c>
      <c r="T42" s="23">
        <f>N42*0.085</f>
        <v>2016.6583625</v>
      </c>
      <c r="U42" s="15">
        <f>N42+R42+T42</f>
        <v>32617.48674852417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</row>
    <row r="43" spans="1:38" ht="54.75" customHeight="1">
      <c r="A43" s="19" t="s">
        <v>33</v>
      </c>
      <c r="B43" s="12"/>
      <c r="C43" s="27"/>
      <c r="D43" s="150"/>
      <c r="E43" s="27"/>
      <c r="F43" s="27"/>
      <c r="G43" s="27"/>
      <c r="H43" s="27"/>
      <c r="I43" s="27"/>
      <c r="J43" s="27"/>
      <c r="K43" s="27"/>
      <c r="L43" s="27"/>
      <c r="M43" s="27"/>
      <c r="N43" s="114">
        <v>36727.91</v>
      </c>
      <c r="O43" s="23">
        <f t="shared" si="9"/>
        <v>8741.24258</v>
      </c>
      <c r="P43" s="124"/>
      <c r="Q43" s="10">
        <f>N43*0.0101</f>
        <v>370.95189100000005</v>
      </c>
      <c r="R43" s="83">
        <f>O43+P43+Q43</f>
        <v>9112.194471</v>
      </c>
      <c r="S43" s="20">
        <v>0</v>
      </c>
      <c r="T43" s="23">
        <f>N43*0.085</f>
        <v>3121.8723500000006</v>
      </c>
      <c r="U43" s="15">
        <f>N43+R43+T43</f>
        <v>48961.976821000004</v>
      </c>
      <c r="V43" s="9" t="s">
        <v>134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27.75" customHeight="1">
      <c r="A44" s="125" t="s">
        <v>64</v>
      </c>
      <c r="B44" s="126"/>
      <c r="C44" s="127">
        <f aca="true" t="shared" si="10" ref="C44:I44">SUM(C4:C43)</f>
        <v>501672.3541666667</v>
      </c>
      <c r="D44" s="127">
        <f t="shared" si="10"/>
        <v>4017.1066666666666</v>
      </c>
      <c r="E44" s="127">
        <f t="shared" si="10"/>
        <v>2998.8399999999997</v>
      </c>
      <c r="F44" s="127">
        <f t="shared" si="10"/>
        <v>269.75</v>
      </c>
      <c r="G44" s="32">
        <f t="shared" si="10"/>
        <v>41816.678958333345</v>
      </c>
      <c r="H44" s="127">
        <f t="shared" si="10"/>
        <v>12606.706666666663</v>
      </c>
      <c r="I44" s="127">
        <f t="shared" si="10"/>
        <v>3154.5433333333326</v>
      </c>
      <c r="J44" s="127">
        <f aca="true" t="shared" si="11" ref="J44:U44">SUM(J4:J43)</f>
        <v>14188.121875</v>
      </c>
      <c r="K44" s="127">
        <f t="shared" si="11"/>
        <v>5422.8</v>
      </c>
      <c r="L44" s="127">
        <f t="shared" si="11"/>
        <v>43712.57</v>
      </c>
      <c r="M44" s="74">
        <f t="shared" si="11"/>
        <v>7060.933363020835</v>
      </c>
      <c r="N44" s="127">
        <f>SUM(N4:N43)</f>
        <v>687888.8529046873</v>
      </c>
      <c r="O44" s="127">
        <f t="shared" si="11"/>
        <v>163717.5469913156</v>
      </c>
      <c r="P44" s="128">
        <f t="shared" si="11"/>
        <v>25088.44938316667</v>
      </c>
      <c r="Q44" s="129">
        <f t="shared" si="11"/>
        <v>9341.53484861121</v>
      </c>
      <c r="R44" s="128">
        <f t="shared" si="11"/>
        <v>198147.53122309357</v>
      </c>
      <c r="S44" s="128">
        <f t="shared" si="11"/>
        <v>413.258353925926</v>
      </c>
      <c r="T44" s="127">
        <f t="shared" si="11"/>
        <v>56575.97630523176</v>
      </c>
      <c r="U44" s="140">
        <f t="shared" si="11"/>
        <v>943025.6187869386</v>
      </c>
      <c r="V44" s="9"/>
      <c r="W44" s="123">
        <f>+N44+O44+P44+S44+Q44+T44</f>
        <v>943025.6187869384</v>
      </c>
      <c r="X44" s="123">
        <f>+R44+S44</f>
        <v>198560.7895770195</v>
      </c>
      <c r="Y44" s="123"/>
      <c r="Z44" s="12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9.5" customHeight="1">
      <c r="A45" s="19" t="s">
        <v>88</v>
      </c>
      <c r="B45" s="58"/>
      <c r="C45" s="66"/>
      <c r="D45" s="66"/>
      <c r="E45" s="66"/>
      <c r="F45" s="66"/>
      <c r="G45" s="115"/>
      <c r="H45" s="66"/>
      <c r="I45" s="66"/>
      <c r="J45" s="66"/>
      <c r="K45" s="66"/>
      <c r="L45" s="66"/>
      <c r="N45" s="67"/>
      <c r="O45" s="66"/>
      <c r="P45" s="68"/>
      <c r="Q45" s="69"/>
      <c r="R45" s="68"/>
      <c r="S45" s="68"/>
      <c r="T45" s="66"/>
      <c r="U45" s="7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24.75" customHeight="1">
      <c r="A46" s="19" t="s">
        <v>8</v>
      </c>
      <c r="B46" s="110"/>
      <c r="C46" s="27"/>
      <c r="D46" s="27"/>
      <c r="E46" s="27"/>
      <c r="F46" s="27"/>
      <c r="G46" s="114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11"/>
      <c r="W46" s="9"/>
      <c r="X46" s="9"/>
      <c r="Y46" s="123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42.75" customHeight="1">
      <c r="A47" s="181" t="s">
        <v>25</v>
      </c>
      <c r="B47" s="182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>
        <v>10574</v>
      </c>
      <c r="V47" s="123" t="s">
        <v>27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42.75" customHeight="1">
      <c r="A48" s="181" t="s">
        <v>137</v>
      </c>
      <c r="B48" s="182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>
        <f>6292.8+3210</f>
        <v>9502.8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2.75" customHeight="1">
      <c r="A49" s="181" t="s">
        <v>139</v>
      </c>
      <c r="B49" s="182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>
        <v>40000</v>
      </c>
      <c r="O49" s="180"/>
      <c r="P49" s="180"/>
      <c r="Q49" s="180"/>
      <c r="R49" s="180"/>
      <c r="S49" s="180"/>
      <c r="T49" s="180"/>
      <c r="U49" s="180">
        <f>+N49</f>
        <v>40000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42.75" customHeight="1">
      <c r="A50" s="181" t="s">
        <v>46</v>
      </c>
      <c r="B50" s="182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>
        <v>7000</v>
      </c>
      <c r="O50" s="180">
        <f>N50*0.238</f>
        <v>1666</v>
      </c>
      <c r="P50" s="180"/>
      <c r="Q50" s="180">
        <f>N50*0.0101</f>
        <v>70.7</v>
      </c>
      <c r="R50" s="180">
        <f>O50+P50+Q50</f>
        <v>1736.7</v>
      </c>
      <c r="S50" s="180">
        <v>0</v>
      </c>
      <c r="T50" s="180">
        <f>N50*0.085</f>
        <v>595</v>
      </c>
      <c r="U50" s="180">
        <f>+N50+T50+R50</f>
        <v>9331.7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42.75" customHeight="1">
      <c r="A51" s="181" t="s">
        <v>18</v>
      </c>
      <c r="B51" s="182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>
        <v>10000</v>
      </c>
      <c r="O51" s="180"/>
      <c r="P51" s="180"/>
      <c r="Q51" s="180"/>
      <c r="R51" s="180"/>
      <c r="S51" s="180"/>
      <c r="T51" s="180"/>
      <c r="U51" s="180">
        <f>+N51</f>
        <v>10000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42.75" customHeight="1">
      <c r="A52" s="181" t="s">
        <v>19</v>
      </c>
      <c r="B52" s="182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>
        <v>2000</v>
      </c>
      <c r="O52" s="180"/>
      <c r="P52" s="180"/>
      <c r="Q52" s="180"/>
      <c r="R52" s="180"/>
      <c r="S52" s="180"/>
      <c r="T52" s="180"/>
      <c r="U52" s="180">
        <f>+N52</f>
        <v>2000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29.25" customHeight="1">
      <c r="A53" s="181" t="s">
        <v>140</v>
      </c>
      <c r="B53" s="182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>
        <v>3000</v>
      </c>
      <c r="U53" s="180">
        <f>+T53</f>
        <v>3000</v>
      </c>
      <c r="V53" s="9" t="s">
        <v>7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44.25" customHeight="1">
      <c r="A54" s="19" t="s">
        <v>20</v>
      </c>
      <c r="B54" s="52"/>
      <c r="C54" s="27"/>
      <c r="D54" s="27"/>
      <c r="E54" s="27"/>
      <c r="F54" s="27"/>
      <c r="G54" s="114"/>
      <c r="H54" s="27"/>
      <c r="I54" s="27"/>
      <c r="J54" s="27"/>
      <c r="K54" s="27"/>
      <c r="L54" s="27"/>
      <c r="M54" s="27"/>
      <c r="N54" s="27">
        <v>1700</v>
      </c>
      <c r="O54" s="27"/>
      <c r="P54" s="27"/>
      <c r="Q54" s="27"/>
      <c r="R54" s="27"/>
      <c r="S54" s="27"/>
      <c r="T54" s="27">
        <v>20</v>
      </c>
      <c r="U54" s="27">
        <f>+N54+T54</f>
        <v>1720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27.75" customHeight="1">
      <c r="A55" s="19" t="s">
        <v>89</v>
      </c>
      <c r="B55" s="52"/>
      <c r="C55" s="27"/>
      <c r="D55" s="27"/>
      <c r="E55" s="27"/>
      <c r="F55" s="27"/>
      <c r="G55" s="11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114">
        <v>9000</v>
      </c>
      <c r="V55" s="203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28.5" customHeight="1">
      <c r="A56" s="125" t="s">
        <v>96</v>
      </c>
      <c r="B56" s="161"/>
      <c r="C56" s="162"/>
      <c r="D56" s="74"/>
      <c r="E56" s="162"/>
      <c r="F56" s="162"/>
      <c r="G56" s="162"/>
      <c r="H56" s="162"/>
      <c r="I56" s="162"/>
      <c r="J56" s="162"/>
      <c r="K56" s="162"/>
      <c r="L56" s="162"/>
      <c r="M56" s="162"/>
      <c r="N56" s="162">
        <f>+N47+N48+N49+N51+N52+N53+N54+N55</f>
        <v>53700</v>
      </c>
      <c r="O56" s="162">
        <f>SUM(O50:O55)</f>
        <v>1666</v>
      </c>
      <c r="P56" s="162"/>
      <c r="Q56" s="162">
        <f>SUM(Q50:Q55)</f>
        <v>70.7</v>
      </c>
      <c r="R56" s="162">
        <f>SUM(R46:R55)</f>
        <v>1736.7</v>
      </c>
      <c r="S56" s="162"/>
      <c r="T56" s="162">
        <f>SUM(T50:T55)</f>
        <v>3615</v>
      </c>
      <c r="U56" s="73">
        <f>+U44+U47+U48+U49+U50+U51+U52+U53+U54+U55</f>
        <v>1038154.1187869386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2.75" hidden="1">
      <c r="A57" s="19"/>
      <c r="B57" s="70"/>
      <c r="C57" s="71"/>
      <c r="D57" s="71"/>
      <c r="E57" s="71"/>
      <c r="F57" s="71"/>
      <c r="G57" s="116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>
        <f>SUM(T50:T56)</f>
        <v>7230</v>
      </c>
      <c r="U57" s="220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2"/>
    </row>
    <row r="58" spans="1:38" ht="27.75" customHeight="1">
      <c r="A58" s="13" t="s">
        <v>11</v>
      </c>
      <c r="B58" s="220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48" customHeight="1">
      <c r="A59" s="59" t="s">
        <v>0</v>
      </c>
      <c r="B59" s="65" t="s">
        <v>75</v>
      </c>
      <c r="C59" s="61">
        <f>19917.86</f>
        <v>19917.86</v>
      </c>
      <c r="D59" s="157">
        <f>12.45*13</f>
        <v>161.85</v>
      </c>
      <c r="E59" s="60">
        <v>0</v>
      </c>
      <c r="F59" s="60">
        <v>0</v>
      </c>
      <c r="G59" s="120">
        <f>C59/12</f>
        <v>1659.8216666666667</v>
      </c>
      <c r="H59" s="60">
        <f>45.8*12</f>
        <v>549.5999999999999</v>
      </c>
      <c r="I59" s="61"/>
      <c r="J59" s="61"/>
      <c r="K59" s="61"/>
      <c r="L59" s="60"/>
      <c r="M59" s="60"/>
      <c r="N59" s="60">
        <f>SUM(C59:M59)</f>
        <v>22289.131666666664</v>
      </c>
      <c r="O59" s="61">
        <f>N59*0.238</f>
        <v>5304.813336666666</v>
      </c>
      <c r="P59" s="61">
        <f>SUM(C59:G59)*0.8*0.061</f>
        <v>1060.8891453333333</v>
      </c>
      <c r="Q59" s="160">
        <f>N59*0.03434</f>
        <v>765.4087814333333</v>
      </c>
      <c r="R59" s="61">
        <f>O59+P59+Q59</f>
        <v>7131.111263433333</v>
      </c>
      <c r="S59" s="61">
        <v>0</v>
      </c>
      <c r="T59" s="160"/>
      <c r="U59" s="60">
        <f>N59+R59+T59</f>
        <v>29420.242930099997</v>
      </c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38" ht="61.5" customHeight="1">
      <c r="A60" s="59" t="s">
        <v>34</v>
      </c>
      <c r="B60" s="59" t="s">
        <v>79</v>
      </c>
      <c r="C60" s="62">
        <f>22203.89*30.56%</f>
        <v>6785.508784</v>
      </c>
      <c r="D60" s="62">
        <f>(13.88*13)*30.56%</f>
        <v>55.142464</v>
      </c>
      <c r="E60" s="60">
        <v>0</v>
      </c>
      <c r="F60" s="60">
        <v>0</v>
      </c>
      <c r="G60" s="60">
        <f>C60/12</f>
        <v>565.4590653333333</v>
      </c>
      <c r="H60" s="60">
        <f>(51.9*12)*30.56%</f>
        <v>190.32768</v>
      </c>
      <c r="I60" s="51">
        <v>0</v>
      </c>
      <c r="J60" s="62"/>
      <c r="K60" s="62"/>
      <c r="L60" s="62"/>
      <c r="M60" s="63"/>
      <c r="N60" s="63">
        <f>SUM(C60:M60)</f>
        <v>7596.437993333333</v>
      </c>
      <c r="O60" s="62">
        <f>N60*0.238</f>
        <v>1807.9522424133331</v>
      </c>
      <c r="P60" s="61">
        <f>(C60+D60+E60+F60+G60+I60)*0.8*0.061</f>
        <v>361.41818329066666</v>
      </c>
      <c r="Q60" s="64">
        <f>N60*0.0101-N60*0.0101*15.38%</f>
        <v>64.92386888258252</v>
      </c>
      <c r="R60" s="61">
        <f>O60+P60+Q60</f>
        <v>2234.2942945865825</v>
      </c>
      <c r="S60" s="61">
        <v>0</v>
      </c>
      <c r="T60" s="62">
        <f>N60*0.085</f>
        <v>645.6972294333334</v>
      </c>
      <c r="U60" s="60">
        <f>N60+R60+T60</f>
        <v>10476.42951735325</v>
      </c>
      <c r="V60" s="139"/>
      <c r="W60" s="139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</row>
    <row r="61" spans="1:38" ht="56.25" customHeight="1">
      <c r="A61" s="77" t="s">
        <v>99</v>
      </c>
      <c r="B61" s="77" t="s">
        <v>79</v>
      </c>
      <c r="C61" s="77"/>
      <c r="D61" s="77"/>
      <c r="E61" s="76"/>
      <c r="F61" s="76"/>
      <c r="G61" s="76"/>
      <c r="H61" s="76"/>
      <c r="I61" s="60"/>
      <c r="J61" s="60"/>
      <c r="K61" s="60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81"/>
      <c r="W61" s="84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</row>
    <row r="62" spans="1:38" ht="32.25" customHeight="1">
      <c r="A62" s="181" t="s">
        <v>138</v>
      </c>
      <c r="B62" s="183"/>
      <c r="C62" s="183"/>
      <c r="D62" s="183"/>
      <c r="E62" s="184"/>
      <c r="F62" s="184"/>
      <c r="G62" s="184"/>
      <c r="H62" s="184"/>
      <c r="I62" s="185"/>
      <c r="J62" s="185"/>
      <c r="K62" s="185"/>
      <c r="L62" s="184"/>
      <c r="M62" s="184"/>
      <c r="N62" s="180">
        <f>+U48</f>
        <v>9502.8</v>
      </c>
      <c r="O62" s="184"/>
      <c r="P62" s="184"/>
      <c r="Q62" s="184"/>
      <c r="R62" s="184"/>
      <c r="S62" s="184"/>
      <c r="T62" s="184"/>
      <c r="U62" s="185">
        <f>+N62</f>
        <v>9502.8</v>
      </c>
      <c r="V62" s="81"/>
      <c r="W62" s="84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</row>
    <row r="63" spans="1:38" ht="42" customHeight="1">
      <c r="A63" s="181" t="s">
        <v>139</v>
      </c>
      <c r="B63" s="183"/>
      <c r="C63" s="183"/>
      <c r="D63" s="183"/>
      <c r="E63" s="184"/>
      <c r="F63" s="184"/>
      <c r="G63" s="184"/>
      <c r="H63" s="184"/>
      <c r="I63" s="185"/>
      <c r="J63" s="185"/>
      <c r="K63" s="185"/>
      <c r="L63" s="184"/>
      <c r="M63" s="184"/>
      <c r="N63" s="180">
        <v>40000</v>
      </c>
      <c r="O63" s="180"/>
      <c r="P63" s="180"/>
      <c r="Q63" s="180"/>
      <c r="R63" s="180"/>
      <c r="S63" s="180"/>
      <c r="T63" s="180"/>
      <c r="U63" s="180">
        <f>+N63</f>
        <v>40000</v>
      </c>
      <c r="V63" s="81"/>
      <c r="W63" s="84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</row>
    <row r="64" spans="1:38" ht="31.5" customHeight="1">
      <c r="A64" s="181" t="s">
        <v>118</v>
      </c>
      <c r="B64" s="183"/>
      <c r="C64" s="183"/>
      <c r="D64" s="183"/>
      <c r="E64" s="184"/>
      <c r="F64" s="184"/>
      <c r="G64" s="184"/>
      <c r="H64" s="184"/>
      <c r="I64" s="185"/>
      <c r="J64" s="185"/>
      <c r="K64" s="185"/>
      <c r="L64" s="184"/>
      <c r="M64" s="184"/>
      <c r="N64" s="187">
        <f>N6</f>
        <v>14240.537875000004</v>
      </c>
      <c r="O64" s="188">
        <f>+N64*23.8%</f>
        <v>3389.2480142500012</v>
      </c>
      <c r="P64" s="188">
        <v>0</v>
      </c>
      <c r="Q64" s="188">
        <v>0</v>
      </c>
      <c r="R64" s="188">
        <f>+O64+P64+Q64</f>
        <v>3389.2480142500012</v>
      </c>
      <c r="S64" s="189"/>
      <c r="T64" s="188">
        <f>N64*0.085</f>
        <v>1210.4457193750004</v>
      </c>
      <c r="U64" s="188">
        <f>+N64+R64+T64</f>
        <v>18840.231608625007</v>
      </c>
      <c r="V64" s="81"/>
      <c r="W64" s="84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</row>
    <row r="65" spans="1:38" ht="34.5" customHeight="1">
      <c r="A65" s="181" t="s">
        <v>140</v>
      </c>
      <c r="B65" s="182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>
        <v>3000</v>
      </c>
      <c r="O65" s="180"/>
      <c r="P65" s="180"/>
      <c r="Q65" s="180"/>
      <c r="R65" s="180"/>
      <c r="S65" s="180"/>
      <c r="T65" s="180"/>
      <c r="U65" s="180">
        <f>+N65</f>
        <v>3000</v>
      </c>
      <c r="V65" s="81"/>
      <c r="W65" s="84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</row>
    <row r="66" spans="1:38" ht="33" customHeight="1">
      <c r="A66" s="181" t="s">
        <v>19</v>
      </c>
      <c r="B66" s="182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>
        <v>2000</v>
      </c>
      <c r="O66" s="180"/>
      <c r="P66" s="180"/>
      <c r="Q66" s="180"/>
      <c r="R66" s="180"/>
      <c r="S66" s="180"/>
      <c r="T66" s="180"/>
      <c r="U66" s="180">
        <f>+N66</f>
        <v>2000</v>
      </c>
      <c r="V66" s="81"/>
      <c r="W66" s="84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</row>
    <row r="67" spans="1:38" ht="39" customHeight="1">
      <c r="A67" s="181" t="s">
        <v>18</v>
      </c>
      <c r="B67" s="182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>
        <v>10000</v>
      </c>
      <c r="O67" s="180"/>
      <c r="P67" s="180"/>
      <c r="Q67" s="180"/>
      <c r="R67" s="180"/>
      <c r="S67" s="180"/>
      <c r="T67" s="180"/>
      <c r="U67" s="180">
        <f>+N67</f>
        <v>10000</v>
      </c>
      <c r="V67" s="81"/>
      <c r="W67" s="84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</row>
    <row r="68" spans="1:38" ht="48.75" customHeight="1">
      <c r="A68" s="22" t="s">
        <v>130</v>
      </c>
      <c r="B68" s="18" t="s">
        <v>74</v>
      </c>
      <c r="C68" s="121"/>
      <c r="D68" s="121"/>
      <c r="E68" s="16"/>
      <c r="F68" s="16"/>
      <c r="G68" s="28"/>
      <c r="H68" s="25"/>
      <c r="I68" s="25"/>
      <c r="J68" s="25"/>
      <c r="K68" s="25"/>
      <c r="L68" s="36"/>
      <c r="M68" s="36"/>
      <c r="N68" s="25"/>
      <c r="O68" s="25"/>
      <c r="P68" s="26"/>
      <c r="Q68" s="11"/>
      <c r="R68" s="26"/>
      <c r="S68" s="26"/>
      <c r="T68" s="25"/>
      <c r="U68" s="1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43.5" customHeight="1">
      <c r="A69" s="22" t="s">
        <v>2</v>
      </c>
      <c r="B69" s="18" t="s">
        <v>74</v>
      </c>
      <c r="C69" s="121"/>
      <c r="D69" s="121"/>
      <c r="E69" s="16"/>
      <c r="F69" s="16"/>
      <c r="G69" s="28"/>
      <c r="H69" s="25"/>
      <c r="I69" s="25"/>
      <c r="J69" s="25"/>
      <c r="K69" s="25"/>
      <c r="L69" s="36"/>
      <c r="M69" s="36"/>
      <c r="N69" s="25"/>
      <c r="O69" s="25"/>
      <c r="P69" s="26"/>
      <c r="Q69" s="11"/>
      <c r="R69" s="26"/>
      <c r="S69" s="26"/>
      <c r="T69" s="25"/>
      <c r="U69" s="1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42.75" customHeight="1">
      <c r="A70" s="22" t="s">
        <v>125</v>
      </c>
      <c r="B70" s="18"/>
      <c r="C70" s="25"/>
      <c r="D70" s="121"/>
      <c r="E70" s="16"/>
      <c r="F70" s="16"/>
      <c r="G70" s="16"/>
      <c r="H70" s="25"/>
      <c r="I70" s="25"/>
      <c r="J70" s="25"/>
      <c r="K70" s="25"/>
      <c r="L70" s="36"/>
      <c r="M70" s="36"/>
      <c r="N70" s="25"/>
      <c r="O70" s="25"/>
      <c r="P70" s="26"/>
      <c r="Q70" s="11"/>
      <c r="R70" s="26"/>
      <c r="S70" s="26"/>
      <c r="T70" s="25"/>
      <c r="U70" s="1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43.5" customHeight="1">
      <c r="A71" s="22" t="s">
        <v>3</v>
      </c>
      <c r="B71" s="18" t="s">
        <v>71</v>
      </c>
      <c r="C71" s="25"/>
      <c r="D71" s="121"/>
      <c r="E71" s="106"/>
      <c r="F71" s="106"/>
      <c r="G71" s="28"/>
      <c r="H71" s="25"/>
      <c r="I71" s="106"/>
      <c r="J71" s="106"/>
      <c r="K71" s="106"/>
      <c r="L71" s="106"/>
      <c r="M71" s="106"/>
      <c r="N71" s="25"/>
      <c r="O71" s="25"/>
      <c r="P71" s="26"/>
      <c r="Q71" s="11"/>
      <c r="R71" s="26"/>
      <c r="S71" s="26"/>
      <c r="T71" s="25"/>
      <c r="U71" s="1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46.5" customHeight="1">
      <c r="A72" s="22" t="s">
        <v>4</v>
      </c>
      <c r="B72" s="18" t="s">
        <v>74</v>
      </c>
      <c r="C72" s="121"/>
      <c r="D72" s="121"/>
      <c r="E72" s="16"/>
      <c r="F72" s="16"/>
      <c r="G72" s="28"/>
      <c r="H72" s="16"/>
      <c r="I72" s="25"/>
      <c r="J72" s="135"/>
      <c r="K72" s="135"/>
      <c r="L72" s="136"/>
      <c r="M72" s="36"/>
      <c r="N72" s="16"/>
      <c r="O72" s="25"/>
      <c r="P72" s="26"/>
      <c r="Q72" s="11"/>
      <c r="R72" s="26"/>
      <c r="S72" s="26"/>
      <c r="T72" s="25"/>
      <c r="U72" s="1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43.5" customHeight="1">
      <c r="A73" s="22" t="s">
        <v>51</v>
      </c>
      <c r="B73" s="37"/>
      <c r="C73" s="36">
        <f aca="true" t="shared" si="12" ref="C73:I73">SUM(C59:C72)</f>
        <v>26703.368784</v>
      </c>
      <c r="D73" s="121">
        <f t="shared" si="12"/>
        <v>216.99246399999998</v>
      </c>
      <c r="E73" s="36">
        <f t="shared" si="12"/>
        <v>0</v>
      </c>
      <c r="F73" s="36">
        <f t="shared" si="12"/>
        <v>0</v>
      </c>
      <c r="G73" s="36">
        <f t="shared" si="12"/>
        <v>2225.280732</v>
      </c>
      <c r="H73" s="36">
        <f t="shared" si="12"/>
        <v>739.9276799999999</v>
      </c>
      <c r="I73" s="36">
        <f t="shared" si="12"/>
        <v>0</v>
      </c>
      <c r="J73" s="36"/>
      <c r="K73" s="36"/>
      <c r="L73" s="36"/>
      <c r="M73" s="36"/>
      <c r="N73" s="36">
        <f>SUM(N59:N72)</f>
        <v>108628.907535</v>
      </c>
      <c r="O73" s="36">
        <f>SUM(O59:O72)</f>
        <v>10502.01359333</v>
      </c>
      <c r="P73" s="36">
        <f>SUM(P59:P72)</f>
        <v>1422.307328624</v>
      </c>
      <c r="Q73" s="36">
        <f>SUM(Q59:Q72)</f>
        <v>830.3326503159158</v>
      </c>
      <c r="R73" s="36">
        <f>SUM(R59:R72)</f>
        <v>12754.653572269917</v>
      </c>
      <c r="S73" s="36"/>
      <c r="T73" s="36">
        <f>SUM(T59:T72)</f>
        <v>1856.1429488083338</v>
      </c>
      <c r="U73" s="74">
        <f>SUM(U59:U72)</f>
        <v>123239.70405607825</v>
      </c>
      <c r="V73" s="104">
        <f>N73+R73+T73</f>
        <v>123239.70405607826</v>
      </c>
      <c r="W73" s="104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7.25" customHeight="1">
      <c r="A74" s="19"/>
      <c r="B74" s="52"/>
      <c r="C74" s="27"/>
      <c r="D74" s="71"/>
      <c r="E74" s="27"/>
      <c r="F74" s="27"/>
      <c r="G74" s="11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32.25" customHeight="1">
      <c r="A75" s="34" t="s">
        <v>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  <c r="S75" s="31"/>
      <c r="T75" s="30"/>
      <c r="U75" s="33">
        <f>U56-U73</f>
        <v>914914.4147308604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32.25" customHeight="1">
      <c r="A76" s="34" t="s">
        <v>44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168">
        <v>0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32.25" customHeight="1">
      <c r="A77" s="34" t="s">
        <v>12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S77" s="31"/>
      <c r="T77" s="30"/>
      <c r="U77" s="33">
        <f>+U75+U76</f>
        <v>914914.4147308604</v>
      </c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33" customHeight="1">
      <c r="A78" s="54" t="s">
        <v>136</v>
      </c>
      <c r="B78" s="54"/>
      <c r="C78" s="55"/>
      <c r="D78" s="151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6"/>
      <c r="S78" s="56"/>
      <c r="T78" s="55"/>
      <c r="U78" s="155">
        <v>919490.7</v>
      </c>
      <c r="V78" s="9"/>
      <c r="W78" s="104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36" customHeight="1">
      <c r="A79" s="38" t="s">
        <v>10</v>
      </c>
      <c r="B79" s="39"/>
      <c r="C79" s="39"/>
      <c r="D79" s="152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S79" s="40"/>
      <c r="T79" s="39"/>
      <c r="U79" s="154">
        <f>+U78-U75</f>
        <v>4576.285269139567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2.75">
      <c r="A80" s="7"/>
      <c r="B80" s="6"/>
      <c r="C80" s="6"/>
      <c r="D80" s="153"/>
      <c r="E80" s="6"/>
      <c r="F80" s="6"/>
      <c r="G80" s="117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6"/>
      <c r="U80" s="204">
        <f>+U79-U76</f>
        <v>4576.285269139567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2.75">
      <c r="A81" s="6"/>
      <c r="B81" s="6"/>
      <c r="C81" s="6"/>
      <c r="D81" s="28"/>
      <c r="E81" s="6"/>
      <c r="F81" s="6"/>
      <c r="G81" s="117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6"/>
      <c r="U81" s="7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2.75">
      <c r="A82" s="6" t="s">
        <v>26</v>
      </c>
      <c r="B82" s="6"/>
      <c r="C82" s="6"/>
      <c r="D82" s="28"/>
      <c r="E82" s="6"/>
      <c r="F82" s="6"/>
      <c r="G82" s="117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6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6"/>
      <c r="B83" s="6"/>
      <c r="C83" s="6"/>
      <c r="D83" s="147"/>
      <c r="E83" s="6"/>
      <c r="F83" s="6"/>
      <c r="G83" s="117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7"/>
      <c r="T83" s="6"/>
      <c r="U83" s="7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2.75">
      <c r="A84" s="6"/>
      <c r="B84" s="6"/>
      <c r="C84" s="6"/>
      <c r="D84" s="142">
        <f>11.39/36*18</f>
        <v>5.695</v>
      </c>
      <c r="E84" s="6"/>
      <c r="F84" s="6"/>
      <c r="G84" s="117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  <c r="S84" s="7"/>
      <c r="T84" s="6"/>
      <c r="U84" s="7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2.75">
      <c r="A85" s="6" t="s">
        <v>104</v>
      </c>
      <c r="B85" s="85">
        <f>N44+U43+U47+R44</f>
        <v>945572.3609487808</v>
      </c>
      <c r="C85" s="6"/>
      <c r="D85" s="148"/>
      <c r="E85" s="6"/>
      <c r="F85" s="6"/>
      <c r="G85" s="117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7"/>
      <c r="T85" s="6"/>
      <c r="U85" s="7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2.75">
      <c r="A86" s="6" t="s">
        <v>105</v>
      </c>
      <c r="B86" s="85">
        <f>+N37+R37+T37+U55</f>
        <v>9000</v>
      </c>
      <c r="C86" s="6"/>
      <c r="D86" s="143">
        <f>10.78*11</f>
        <v>118.58</v>
      </c>
      <c r="E86" s="6"/>
      <c r="F86" s="6"/>
      <c r="G86" s="117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  <c r="S86" s="7"/>
      <c r="T86" s="6"/>
      <c r="U86" s="7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2.75">
      <c r="A87" s="6" t="s">
        <v>106</v>
      </c>
      <c r="B87" s="85">
        <f>T44</f>
        <v>56575.97630523176</v>
      </c>
      <c r="C87" s="6"/>
      <c r="D87" s="145">
        <f>+D39*30.56%</f>
        <v>0</v>
      </c>
      <c r="E87" s="6"/>
      <c r="F87" s="6"/>
      <c r="G87" s="117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7"/>
      <c r="T87" s="6"/>
      <c r="U87" s="7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2.75">
      <c r="A88" s="7" t="s">
        <v>108</v>
      </c>
      <c r="B88" s="86">
        <f>SUM(B85:B87)</f>
        <v>1011148.3372540126</v>
      </c>
      <c r="C88" s="6"/>
      <c r="D88" s="149"/>
      <c r="E88" s="6"/>
      <c r="F88" s="6"/>
      <c r="G88" s="117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  <c r="S88" s="7"/>
      <c r="T88" s="6"/>
      <c r="U88" s="7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2.75">
      <c r="A89" s="6"/>
      <c r="B89" s="6"/>
      <c r="C89" s="6"/>
      <c r="D89" s="145">
        <f>D87/36*8</f>
        <v>0</v>
      </c>
      <c r="E89" s="6"/>
      <c r="F89" s="6"/>
      <c r="G89" s="117"/>
      <c r="H89" s="6"/>
      <c r="I89" s="6"/>
      <c r="J89" s="6"/>
      <c r="K89" s="6"/>
      <c r="L89" s="6"/>
      <c r="M89" s="6"/>
      <c r="N89" s="6"/>
      <c r="O89" s="6"/>
      <c r="P89" s="6"/>
      <c r="Q89" s="107"/>
      <c r="R89" s="7"/>
      <c r="S89" s="7"/>
      <c r="T89" s="6"/>
      <c r="U89" s="7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2.75">
      <c r="A90" s="6" t="s">
        <v>107</v>
      </c>
      <c r="B90" s="6"/>
      <c r="C90" s="6"/>
      <c r="D90" s="121">
        <f>12.16*12</f>
        <v>145.92000000000002</v>
      </c>
      <c r="E90" s="6"/>
      <c r="F90" s="85"/>
      <c r="G90" s="117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6"/>
      <c r="U90" s="7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2.75">
      <c r="A91" s="6"/>
      <c r="B91" s="6"/>
      <c r="C91" s="6"/>
      <c r="D91" s="121">
        <f>12.16*12</f>
        <v>145.92000000000002</v>
      </c>
      <c r="E91" s="6"/>
      <c r="F91" s="6"/>
      <c r="G91" s="117"/>
      <c r="H91" s="6"/>
      <c r="I91" s="6"/>
      <c r="J91" s="6"/>
      <c r="K91" s="6"/>
      <c r="L91" s="6"/>
      <c r="M91" s="6"/>
      <c r="N91" s="6" t="s">
        <v>48</v>
      </c>
      <c r="O91" s="6"/>
      <c r="P91" s="6"/>
      <c r="Q91" s="6"/>
      <c r="R91" s="7"/>
      <c r="S91" s="7"/>
      <c r="T91" s="6"/>
      <c r="U91" s="7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2.75">
      <c r="A92" s="6" t="s">
        <v>120</v>
      </c>
      <c r="B92" s="85">
        <f>N59+N60+N61+R59+R60+R61+12129.83</f>
        <v>51380.805218019916</v>
      </c>
      <c r="C92" s="6"/>
      <c r="D92" s="121">
        <f>(12.16/36*24)*4</f>
        <v>32.42666666666667</v>
      </c>
      <c r="E92" s="6"/>
      <c r="F92" s="6"/>
      <c r="G92" s="117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6"/>
      <c r="U92" s="7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2.75">
      <c r="A93" s="6" t="s">
        <v>105</v>
      </c>
      <c r="B93" s="85">
        <f>N68+R68+T68+N69+R69+T69</f>
        <v>0</v>
      </c>
      <c r="C93" s="6"/>
      <c r="D93" s="146"/>
      <c r="E93" s="6"/>
      <c r="F93" s="6"/>
      <c r="G93" s="117"/>
      <c r="H93" s="6"/>
      <c r="I93" s="6"/>
      <c r="J93" s="6"/>
      <c r="K93" s="6"/>
      <c r="L93" s="6"/>
      <c r="M93" s="6"/>
      <c r="N93" s="6"/>
      <c r="O93" s="6"/>
      <c r="P93" s="6"/>
      <c r="Q93" s="107"/>
      <c r="R93" s="7"/>
      <c r="S93" s="7"/>
      <c r="T93" s="6"/>
      <c r="U93" s="7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2.75">
      <c r="A94" s="6" t="s">
        <v>121</v>
      </c>
      <c r="B94" s="85">
        <f>T73+1030.97</f>
        <v>2887.112948808334</v>
      </c>
      <c r="C94" s="6"/>
      <c r="D94" s="146">
        <f>(13.23/36*30)*12</f>
        <v>132.3</v>
      </c>
      <c r="E94" s="6"/>
      <c r="F94" s="6"/>
      <c r="G94" s="117"/>
      <c r="H94" s="6"/>
      <c r="I94" s="6"/>
      <c r="J94" s="6"/>
      <c r="K94" s="6"/>
      <c r="L94" s="6"/>
      <c r="M94" s="107">
        <f>+U37+U38</f>
        <v>0</v>
      </c>
      <c r="N94" s="6"/>
      <c r="O94" s="6"/>
      <c r="P94" s="6"/>
      <c r="Q94" s="6"/>
      <c r="R94" s="7"/>
      <c r="S94" s="7"/>
      <c r="T94" s="6"/>
      <c r="U94" s="7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2.75">
      <c r="A95" s="7" t="s">
        <v>109</v>
      </c>
      <c r="B95" s="86">
        <f>SUM(B92:B94)</f>
        <v>54267.91816682825</v>
      </c>
      <c r="C95" s="6"/>
      <c r="D95" s="146">
        <f>(12.16/36*30)*7</f>
        <v>70.93333333333334</v>
      </c>
      <c r="E95" s="6"/>
      <c r="F95" s="6"/>
      <c r="G95" s="117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6"/>
      <c r="U95" s="7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12.75">
      <c r="A96" s="6"/>
      <c r="B96" s="6"/>
      <c r="C96" s="6"/>
      <c r="D96" s="146"/>
      <c r="E96" s="6"/>
      <c r="F96" s="6"/>
      <c r="G96" s="117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7"/>
      <c r="T96" s="6"/>
      <c r="U96" s="7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12.75">
      <c r="A97" s="7" t="s">
        <v>113</v>
      </c>
      <c r="B97" s="86">
        <f>B88-B95</f>
        <v>956880.4190871844</v>
      </c>
      <c r="C97" s="6"/>
      <c r="D97" s="146"/>
      <c r="E97" s="6"/>
      <c r="F97" s="6"/>
      <c r="G97" s="117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7"/>
      <c r="T97" s="6"/>
      <c r="U97" s="7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12.75">
      <c r="A98" s="6"/>
      <c r="B98" s="6"/>
      <c r="C98" s="6"/>
      <c r="D98" s="146"/>
      <c r="E98" s="6"/>
      <c r="F98" s="6"/>
      <c r="G98" s="117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  <c r="S98" s="7"/>
      <c r="T98" s="6"/>
      <c r="U98" s="7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ht="12.75">
      <c r="A99" s="87" t="s">
        <v>110</v>
      </c>
      <c r="B99" s="88">
        <v>13160</v>
      </c>
      <c r="C99" s="6"/>
      <c r="D99" s="146"/>
      <c r="E99" s="6"/>
      <c r="F99" s="6"/>
      <c r="G99" s="117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6"/>
      <c r="U99" s="7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ht="13.5" thickBot="1">
      <c r="A100" s="89" t="s">
        <v>111</v>
      </c>
      <c r="B100" s="90">
        <f>13160-(13160*8.5/108.5)</f>
        <v>12129.032258064515</v>
      </c>
      <c r="C100" s="6"/>
      <c r="D100" s="143"/>
      <c r="E100" s="6"/>
      <c r="F100" s="6"/>
      <c r="G100" s="11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6"/>
      <c r="U100" s="7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26.25" thickBot="1">
      <c r="A101" s="89" t="s">
        <v>112</v>
      </c>
      <c r="B101" s="90">
        <f>B100*8.5%</f>
        <v>1030.967741935484</v>
      </c>
      <c r="C101" s="6"/>
      <c r="D101" s="36">
        <f>SUM(D78:D100)</f>
        <v>651.7750000000001</v>
      </c>
      <c r="E101" s="99" t="s">
        <v>118</v>
      </c>
      <c r="F101" s="95" t="s">
        <v>73</v>
      </c>
      <c r="G101" s="118" t="s">
        <v>115</v>
      </c>
      <c r="H101" s="96" t="s">
        <v>116</v>
      </c>
      <c r="I101" s="96" t="s">
        <v>70</v>
      </c>
      <c r="J101" s="95" t="s">
        <v>117</v>
      </c>
      <c r="K101" s="95" t="s">
        <v>78</v>
      </c>
      <c r="L101" s="95" t="s">
        <v>72</v>
      </c>
      <c r="M101" s="6"/>
      <c r="N101" s="6"/>
      <c r="O101" s="6"/>
      <c r="P101" s="6"/>
      <c r="Q101" s="6"/>
      <c r="R101" s="7"/>
      <c r="S101" s="7"/>
      <c r="T101" s="6"/>
      <c r="U101" s="7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12.75">
      <c r="A102" s="91"/>
      <c r="B102" s="92">
        <f>SUM(B100:B101)</f>
        <v>13160</v>
      </c>
      <c r="C102" s="6"/>
      <c r="D102" s="27"/>
      <c r="E102" s="94"/>
      <c r="F102" s="205">
        <f>E103</f>
        <v>14240.537875000004</v>
      </c>
      <c r="G102" s="212">
        <f>F102*0.238</f>
        <v>3389.248014250001</v>
      </c>
      <c r="H102" s="214">
        <f>(A102)*0.8*0.036</f>
        <v>0</v>
      </c>
      <c r="I102" s="214">
        <f>Q6</f>
        <v>0</v>
      </c>
      <c r="J102" s="216">
        <f>SUM(G102:I102)</f>
        <v>3389.248014250001</v>
      </c>
      <c r="K102" s="225">
        <f>F102*0.085</f>
        <v>1210.4457193750004</v>
      </c>
      <c r="L102" s="227">
        <f>F102+J102+K102</f>
        <v>18840.231608625007</v>
      </c>
      <c r="M102" s="6"/>
      <c r="N102" s="6"/>
      <c r="O102" s="6"/>
      <c r="P102" s="6"/>
      <c r="Q102" s="6"/>
      <c r="R102" s="7"/>
      <c r="S102" s="7"/>
      <c r="T102" s="6"/>
      <c r="U102" s="7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13.5" thickBot="1">
      <c r="A103" s="6"/>
      <c r="B103" s="6"/>
      <c r="C103" s="6"/>
      <c r="D103" s="30"/>
      <c r="E103" s="94">
        <f>N6</f>
        <v>14240.537875000004</v>
      </c>
      <c r="F103" s="229"/>
      <c r="G103" s="213"/>
      <c r="H103" s="215"/>
      <c r="I103" s="215"/>
      <c r="J103" s="217"/>
      <c r="K103" s="226"/>
      <c r="L103" s="228"/>
      <c r="M103" s="6"/>
      <c r="N103" s="6"/>
      <c r="O103" s="6"/>
      <c r="P103" s="6"/>
      <c r="Q103" s="6"/>
      <c r="R103" s="7"/>
      <c r="S103" s="7"/>
      <c r="T103" s="6"/>
      <c r="U103" s="7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ht="12.75">
      <c r="A104" s="98" t="s">
        <v>114</v>
      </c>
      <c r="B104" s="6"/>
      <c r="C104" s="6"/>
      <c r="D104" s="55"/>
      <c r="E104" s="6"/>
      <c r="F104" s="6"/>
      <c r="G104" s="11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6"/>
      <c r="U104" s="7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ht="12.75">
      <c r="A105" s="93" t="s">
        <v>111</v>
      </c>
      <c r="B105" s="85">
        <f>F102</f>
        <v>14240.537875000004</v>
      </c>
      <c r="C105" s="6"/>
      <c r="D105" s="39"/>
      <c r="E105" s="206"/>
      <c r="F105" s="223"/>
      <c r="G105" s="224"/>
      <c r="H105" s="223"/>
      <c r="I105" s="206"/>
      <c r="J105" s="207"/>
      <c r="K105" s="208"/>
      <c r="L105" s="93"/>
      <c r="M105" s="6"/>
      <c r="N105" s="6"/>
      <c r="O105" s="6"/>
      <c r="P105" s="6"/>
      <c r="Q105" s="6"/>
      <c r="R105" s="7"/>
      <c r="S105" s="7"/>
      <c r="T105" s="6"/>
      <c r="U105" s="7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12.75">
      <c r="A106" s="93" t="s">
        <v>28</v>
      </c>
      <c r="B106" s="85">
        <f>J102</f>
        <v>3389.248014250001</v>
      </c>
      <c r="C106" s="6"/>
      <c r="D106" s="6"/>
      <c r="E106" s="206"/>
      <c r="F106" s="223"/>
      <c r="G106" s="224"/>
      <c r="H106" s="223"/>
      <c r="I106" s="206"/>
      <c r="J106" s="207"/>
      <c r="K106" s="208"/>
      <c r="L106" s="93"/>
      <c r="M106" s="6"/>
      <c r="N106" s="6"/>
      <c r="O106" s="6"/>
      <c r="P106" s="6"/>
      <c r="Q106" s="6"/>
      <c r="R106" s="7"/>
      <c r="S106" s="7"/>
      <c r="T106" s="6"/>
      <c r="U106" s="7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ht="12.75">
      <c r="A107" s="93" t="s">
        <v>112</v>
      </c>
      <c r="B107" s="85">
        <f>K102</f>
        <v>1210.4457193750004</v>
      </c>
      <c r="C107" s="6"/>
      <c r="D107" s="6"/>
      <c r="E107" s="6"/>
      <c r="F107" s="6"/>
      <c r="G107" s="11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6"/>
      <c r="U107" s="7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ht="12.75">
      <c r="A108" s="93" t="s">
        <v>119</v>
      </c>
      <c r="B108" s="97">
        <f>SUM(B105:B107)</f>
        <v>18840.231608625007</v>
      </c>
      <c r="C108" s="6"/>
      <c r="D108" s="6"/>
      <c r="E108" s="6"/>
      <c r="F108" s="6"/>
      <c r="G108" s="11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6"/>
      <c r="U108" s="7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ht="12.75">
      <c r="A109" s="6"/>
      <c r="B109" s="6"/>
      <c r="C109" s="6"/>
      <c r="D109" s="6"/>
      <c r="E109" s="6"/>
      <c r="F109" s="6"/>
      <c r="G109" s="11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6"/>
      <c r="U109" s="7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ht="12.75">
      <c r="A110" s="6"/>
      <c r="B110" s="6"/>
      <c r="C110" s="6"/>
      <c r="D110" s="6"/>
      <c r="E110" s="6"/>
      <c r="F110" s="6"/>
      <c r="G110" s="11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6"/>
      <c r="U110" s="7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ht="12.75">
      <c r="A111" s="6"/>
      <c r="B111" s="6"/>
      <c r="C111" s="6"/>
      <c r="D111" s="6"/>
      <c r="E111" s="6"/>
      <c r="F111" s="6"/>
      <c r="G111" s="11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6"/>
      <c r="U111" s="7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ht="12.75">
      <c r="A112" s="6"/>
      <c r="B112" s="6"/>
      <c r="C112" s="6"/>
      <c r="D112" s="6"/>
      <c r="E112" s="6"/>
      <c r="F112" s="6"/>
      <c r="G112" s="11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7"/>
      <c r="T112" s="6"/>
      <c r="U112" s="7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ht="12.75">
      <c r="A113" s="6"/>
      <c r="B113" s="6"/>
      <c r="C113" s="6"/>
      <c r="D113" s="6"/>
      <c r="E113" s="6"/>
      <c r="F113" s="6"/>
      <c r="G113" s="11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7"/>
      <c r="T113" s="6"/>
      <c r="U113" s="7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ht="12.75">
      <c r="A114" s="6"/>
      <c r="B114" s="6"/>
      <c r="C114" s="6"/>
      <c r="D114" s="6"/>
      <c r="E114" s="6"/>
      <c r="F114" s="6"/>
      <c r="G114" s="11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7"/>
      <c r="T114" s="6"/>
      <c r="U114" s="7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ht="12.75">
      <c r="A115" s="6"/>
      <c r="B115" s="6"/>
      <c r="C115" s="6"/>
      <c r="D115" s="6"/>
      <c r="E115" s="6"/>
      <c r="F115" s="6"/>
      <c r="G115" s="11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7"/>
      <c r="T115" s="6"/>
      <c r="U115" s="7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ht="12.75">
      <c r="A116" s="6"/>
      <c r="B116" s="6"/>
      <c r="C116" s="6"/>
      <c r="D116" s="6"/>
      <c r="E116" s="6"/>
      <c r="F116" s="6"/>
      <c r="G116" s="11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6"/>
      <c r="U116" s="7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ht="12.75">
      <c r="A117" s="6"/>
      <c r="B117" s="6"/>
      <c r="C117" s="6"/>
      <c r="D117" s="6"/>
      <c r="E117" s="6"/>
      <c r="F117" s="6"/>
      <c r="G117" s="11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/>
      <c r="S117" s="7"/>
      <c r="T117" s="6"/>
      <c r="U117" s="7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ht="12.75">
      <c r="A118" s="6"/>
      <c r="B118" s="6"/>
      <c r="C118" s="6"/>
      <c r="D118" s="6"/>
      <c r="E118" s="6"/>
      <c r="F118" s="6"/>
      <c r="G118" s="11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6"/>
      <c r="U118" s="7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ht="12.75">
      <c r="A119" s="6"/>
      <c r="B119" s="6"/>
      <c r="C119" s="6"/>
      <c r="D119" s="6"/>
      <c r="E119" s="6"/>
      <c r="F119" s="6"/>
      <c r="G119" s="11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/>
      <c r="S119" s="7"/>
      <c r="T119" s="6"/>
      <c r="U119" s="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ht="12.75">
      <c r="A120" s="6"/>
      <c r="B120" s="6"/>
      <c r="C120" s="6"/>
      <c r="D120" s="6"/>
      <c r="E120" s="6"/>
      <c r="F120" s="6"/>
      <c r="G120" s="11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6"/>
      <c r="U120" s="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ht="12.75">
      <c r="A121" s="6"/>
      <c r="B121" s="6"/>
      <c r="C121" s="6"/>
      <c r="D121" s="6"/>
      <c r="E121" s="6"/>
      <c r="F121" s="6"/>
      <c r="G121" s="11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/>
      <c r="S121" s="7"/>
      <c r="T121" s="6"/>
      <c r="U121" s="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ht="12.75">
      <c r="A122" s="6"/>
      <c r="B122" s="6"/>
      <c r="C122" s="6"/>
      <c r="D122" s="6"/>
      <c r="E122" s="6"/>
      <c r="F122" s="6"/>
      <c r="G122" s="11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/>
      <c r="T122" s="6"/>
      <c r="U122" s="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ht="12.75">
      <c r="A123" s="6"/>
      <c r="B123" s="6"/>
      <c r="C123" s="6"/>
      <c r="D123" s="6"/>
      <c r="E123" s="6"/>
      <c r="F123" s="6"/>
      <c r="G123" s="11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7"/>
      <c r="S123" s="7"/>
      <c r="T123" s="6"/>
      <c r="U123" s="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ht="12.75">
      <c r="A124" s="6"/>
      <c r="B124" s="6"/>
      <c r="C124" s="6"/>
      <c r="D124" s="6"/>
      <c r="E124" s="6"/>
      <c r="F124" s="6"/>
      <c r="G124" s="11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/>
      <c r="S124" s="7"/>
      <c r="T124" s="6"/>
      <c r="U124" s="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ht="12.75">
      <c r="A125" s="6"/>
      <c r="B125" s="6"/>
      <c r="C125" s="6"/>
      <c r="D125" s="6"/>
      <c r="E125" s="6"/>
      <c r="F125" s="6"/>
      <c r="G125" s="11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/>
      <c r="S125" s="7"/>
      <c r="T125" s="6"/>
      <c r="U125" s="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12.75">
      <c r="A126" s="6"/>
      <c r="B126" s="6"/>
      <c r="C126" s="6"/>
      <c r="D126" s="6"/>
      <c r="E126" s="6"/>
      <c r="F126" s="6"/>
      <c r="G126" s="11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7"/>
      <c r="S126" s="7"/>
      <c r="T126" s="6"/>
      <c r="U126" s="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2.75">
      <c r="A127" s="6"/>
      <c r="B127" s="6"/>
      <c r="C127" s="6"/>
      <c r="D127" s="6"/>
      <c r="E127" s="6"/>
      <c r="F127" s="6"/>
      <c r="G127" s="11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7"/>
      <c r="S127" s="7"/>
      <c r="T127" s="6"/>
      <c r="U127" s="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2.75">
      <c r="A128" s="6"/>
      <c r="B128" s="6"/>
      <c r="C128" s="6"/>
      <c r="D128" s="6"/>
      <c r="E128" s="6"/>
      <c r="F128" s="6"/>
      <c r="G128" s="11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"/>
      <c r="S128" s="7"/>
      <c r="T128" s="6"/>
      <c r="U128" s="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2.75">
      <c r="A129" s="6"/>
      <c r="B129" s="6"/>
      <c r="C129" s="6"/>
      <c r="D129" s="6"/>
      <c r="E129" s="6"/>
      <c r="F129" s="6"/>
      <c r="G129" s="11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7"/>
      <c r="S129" s="7"/>
      <c r="T129" s="6"/>
      <c r="U129" s="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2.75">
      <c r="A130" s="6"/>
      <c r="B130" s="6"/>
      <c r="C130" s="6"/>
      <c r="D130" s="6"/>
      <c r="E130" s="6"/>
      <c r="F130" s="6"/>
      <c r="G130" s="11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7"/>
      <c r="S130" s="7"/>
      <c r="T130" s="6"/>
      <c r="U130" s="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12.75">
      <c r="A131" s="6"/>
      <c r="B131" s="6"/>
      <c r="C131" s="6"/>
      <c r="D131" s="6"/>
      <c r="E131" s="6"/>
      <c r="F131" s="6"/>
      <c r="G131" s="11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7"/>
      <c r="S131" s="7"/>
      <c r="T131" s="6"/>
      <c r="U131" s="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2.75">
      <c r="A132" s="6"/>
      <c r="B132" s="6"/>
      <c r="C132" s="6"/>
      <c r="D132" s="6"/>
      <c r="E132" s="6"/>
      <c r="F132" s="6"/>
      <c r="G132" s="11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7"/>
      <c r="S132" s="7"/>
      <c r="T132" s="6"/>
      <c r="U132" s="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2.75">
      <c r="A133" s="6"/>
      <c r="B133" s="6"/>
      <c r="C133" s="6"/>
      <c r="D133" s="6"/>
      <c r="E133" s="6"/>
      <c r="F133" s="6"/>
      <c r="G133" s="11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/>
      <c r="S133" s="7"/>
      <c r="T133" s="6"/>
      <c r="U133" s="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2.75">
      <c r="A134" s="6"/>
      <c r="B134" s="6"/>
      <c r="C134" s="6"/>
      <c r="D134" s="6"/>
      <c r="E134" s="6"/>
      <c r="F134" s="6"/>
      <c r="G134" s="11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7"/>
      <c r="S134" s="7"/>
      <c r="T134" s="6"/>
      <c r="U134" s="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2.75">
      <c r="A135" s="6"/>
      <c r="B135" s="6"/>
      <c r="C135" s="6"/>
      <c r="D135" s="6"/>
      <c r="E135" s="6"/>
      <c r="F135" s="6"/>
      <c r="G135" s="11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7"/>
      <c r="S135" s="7"/>
      <c r="T135" s="6"/>
      <c r="U135" s="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2.75">
      <c r="A136" s="6"/>
      <c r="B136" s="6"/>
      <c r="C136" s="6"/>
      <c r="D136" s="6"/>
      <c r="E136" s="6"/>
      <c r="F136" s="6"/>
      <c r="G136" s="11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  <c r="S136" s="7"/>
      <c r="T136" s="6"/>
      <c r="U136" s="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2.75">
      <c r="A137" s="6"/>
      <c r="B137" s="6"/>
      <c r="C137" s="6"/>
      <c r="D137" s="6"/>
      <c r="E137" s="6"/>
      <c r="F137" s="6"/>
      <c r="G137" s="11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7"/>
      <c r="S137" s="7"/>
      <c r="T137" s="6"/>
      <c r="U137" s="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2.75">
      <c r="A138" s="6"/>
      <c r="B138" s="6"/>
      <c r="C138" s="6"/>
      <c r="D138" s="6"/>
      <c r="E138" s="6"/>
      <c r="F138" s="6"/>
      <c r="G138" s="11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"/>
      <c r="S138" s="7"/>
      <c r="T138" s="6"/>
      <c r="U138" s="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2.75">
      <c r="A139" s="6"/>
      <c r="B139" s="6"/>
      <c r="C139" s="6"/>
      <c r="D139" s="6"/>
      <c r="E139" s="6"/>
      <c r="F139" s="6"/>
      <c r="G139" s="11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7"/>
      <c r="S139" s="7"/>
      <c r="T139" s="6"/>
      <c r="U139" s="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2.75">
      <c r="A140" s="6"/>
      <c r="B140" s="6"/>
      <c r="C140" s="6"/>
      <c r="D140" s="6"/>
      <c r="E140" s="6"/>
      <c r="F140" s="6"/>
      <c r="G140" s="11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7"/>
      <c r="S140" s="7"/>
      <c r="T140" s="6"/>
      <c r="U140" s="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2.75">
      <c r="A141" s="6"/>
      <c r="B141" s="6"/>
      <c r="C141" s="6"/>
      <c r="D141" s="6"/>
      <c r="E141" s="6"/>
      <c r="F141" s="6"/>
      <c r="G141" s="11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7"/>
      <c r="S141" s="7"/>
      <c r="T141" s="6"/>
      <c r="U141" s="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2.75">
      <c r="A142" s="6"/>
      <c r="B142" s="6"/>
      <c r="C142" s="6"/>
      <c r="D142" s="6"/>
      <c r="E142" s="6"/>
      <c r="F142" s="6"/>
      <c r="G142" s="11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6"/>
      <c r="U142" s="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2.75">
      <c r="A143" s="6"/>
      <c r="B143" s="6"/>
      <c r="C143" s="6"/>
      <c r="D143" s="6"/>
      <c r="E143" s="6"/>
      <c r="F143" s="6"/>
      <c r="G143" s="11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7"/>
      <c r="S143" s="7"/>
      <c r="T143" s="6"/>
      <c r="U143" s="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ht="12.75">
      <c r="A144" s="6"/>
      <c r="B144" s="6"/>
      <c r="C144" s="6"/>
      <c r="D144" s="6"/>
      <c r="E144" s="6"/>
      <c r="F144" s="6"/>
      <c r="G144" s="11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7"/>
      <c r="S144" s="7"/>
      <c r="T144" s="6"/>
      <c r="U144" s="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2.75">
      <c r="A145" s="6"/>
      <c r="B145" s="6"/>
      <c r="C145" s="6"/>
      <c r="D145" s="6"/>
      <c r="E145" s="6"/>
      <c r="F145" s="6"/>
      <c r="G145" s="11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7"/>
      <c r="S145" s="7"/>
      <c r="T145" s="6"/>
      <c r="U145" s="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2.75">
      <c r="A146" s="6"/>
      <c r="B146" s="6"/>
      <c r="C146" s="6"/>
      <c r="D146" s="6"/>
      <c r="E146" s="6"/>
      <c r="F146" s="6"/>
      <c r="G146" s="11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"/>
      <c r="S146" s="7"/>
      <c r="T146" s="6"/>
      <c r="U146" s="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2.75">
      <c r="A147" s="6"/>
      <c r="B147" s="6"/>
      <c r="C147" s="6"/>
      <c r="D147" s="6"/>
      <c r="E147" s="6"/>
      <c r="F147" s="6"/>
      <c r="G147" s="11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7"/>
      <c r="S147" s="7"/>
      <c r="T147" s="6"/>
      <c r="U147" s="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2.75">
      <c r="A148" s="6"/>
      <c r="B148" s="6"/>
      <c r="C148" s="6"/>
      <c r="D148" s="6"/>
      <c r="E148" s="6"/>
      <c r="F148" s="6"/>
      <c r="G148" s="11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7"/>
      <c r="S148" s="7"/>
      <c r="T148" s="6"/>
      <c r="U148" s="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2.75">
      <c r="A149" s="6"/>
      <c r="B149" s="6"/>
      <c r="C149" s="6"/>
      <c r="D149" s="6"/>
      <c r="E149" s="6"/>
      <c r="F149" s="6"/>
      <c r="G149" s="11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7"/>
      <c r="S149" s="7"/>
      <c r="T149" s="6"/>
      <c r="U149" s="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2.75">
      <c r="A150" s="6"/>
      <c r="B150" s="6"/>
      <c r="C150" s="6"/>
      <c r="D150" s="6"/>
      <c r="E150" s="6"/>
      <c r="F150" s="6"/>
      <c r="G150" s="11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7"/>
      <c r="S150" s="7"/>
      <c r="T150" s="6"/>
      <c r="U150" s="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2.75">
      <c r="A151" s="6"/>
      <c r="B151" s="6"/>
      <c r="C151" s="6"/>
      <c r="D151" s="6"/>
      <c r="E151" s="6"/>
      <c r="F151" s="6"/>
      <c r="G151" s="11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7"/>
      <c r="S151" s="7"/>
      <c r="T151" s="6"/>
      <c r="U151" s="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2.75">
      <c r="A152" s="6"/>
      <c r="B152" s="6"/>
      <c r="C152" s="6"/>
      <c r="D152" s="6"/>
      <c r="E152" s="6"/>
      <c r="F152" s="6"/>
      <c r="G152" s="11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7"/>
      <c r="S152" s="7"/>
      <c r="T152" s="6"/>
      <c r="U152" s="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2.75">
      <c r="A153" s="6"/>
      <c r="B153" s="6"/>
      <c r="C153" s="6"/>
      <c r="D153" s="6"/>
      <c r="E153" s="6"/>
      <c r="F153" s="6"/>
      <c r="G153" s="11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7"/>
      <c r="S153" s="7"/>
      <c r="T153" s="6"/>
      <c r="U153" s="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2.75">
      <c r="A154" s="6"/>
      <c r="B154" s="6"/>
      <c r="C154" s="6"/>
      <c r="D154" s="6"/>
      <c r="E154" s="6"/>
      <c r="F154" s="6"/>
      <c r="G154" s="11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7"/>
      <c r="S154" s="7"/>
      <c r="T154" s="6"/>
      <c r="U154" s="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2.75">
      <c r="A155" s="6"/>
      <c r="B155" s="6"/>
      <c r="C155" s="6"/>
      <c r="D155" s="6"/>
      <c r="E155" s="6"/>
      <c r="F155" s="6"/>
      <c r="G155" s="11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/>
      <c r="S155" s="7"/>
      <c r="T155" s="6"/>
      <c r="U155" s="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2.75">
      <c r="A156" s="6"/>
      <c r="B156" s="6"/>
      <c r="C156" s="6"/>
      <c r="D156" s="6"/>
      <c r="E156" s="6"/>
      <c r="F156" s="6"/>
      <c r="G156" s="11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7"/>
      <c r="S156" s="7"/>
      <c r="T156" s="6"/>
      <c r="U156" s="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ht="12.75">
      <c r="A157" s="6"/>
      <c r="B157" s="6"/>
      <c r="C157" s="6"/>
      <c r="D157" s="6"/>
      <c r="E157" s="6"/>
      <c r="F157" s="6"/>
      <c r="G157" s="11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  <c r="S157" s="7"/>
      <c r="T157" s="6"/>
      <c r="U157" s="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ht="12.75">
      <c r="A158" s="6"/>
      <c r="B158" s="6"/>
      <c r="C158" s="6"/>
      <c r="D158" s="6"/>
      <c r="E158" s="6"/>
      <c r="F158" s="6"/>
      <c r="G158" s="11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7"/>
      <c r="S158" s="7"/>
      <c r="T158" s="6"/>
      <c r="U158" s="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ht="12.75">
      <c r="A159" s="6"/>
      <c r="B159" s="6"/>
      <c r="C159" s="6"/>
      <c r="D159" s="6"/>
      <c r="E159" s="6"/>
      <c r="F159" s="6"/>
      <c r="G159" s="11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7"/>
      <c r="S159" s="7"/>
      <c r="T159" s="6"/>
      <c r="U159" s="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2.75">
      <c r="A160" s="6"/>
      <c r="B160" s="6"/>
      <c r="C160" s="6"/>
      <c r="D160" s="6"/>
      <c r="E160" s="6"/>
      <c r="F160" s="6"/>
      <c r="G160" s="11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7"/>
      <c r="S160" s="7"/>
      <c r="T160" s="6"/>
      <c r="U160" s="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2.75">
      <c r="A161" s="6"/>
      <c r="B161" s="6"/>
      <c r="C161" s="6"/>
      <c r="D161" s="6"/>
      <c r="E161" s="6"/>
      <c r="F161" s="6"/>
      <c r="G161" s="11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7"/>
      <c r="S161" s="7"/>
      <c r="T161" s="6"/>
      <c r="U161" s="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2.75">
      <c r="A162" s="6"/>
      <c r="B162" s="6"/>
      <c r="C162" s="6"/>
      <c r="D162" s="6"/>
      <c r="E162" s="6"/>
      <c r="F162" s="6"/>
      <c r="G162" s="11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7"/>
      <c r="S162" s="7"/>
      <c r="T162" s="6"/>
      <c r="U162" s="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2.75">
      <c r="A163" s="6"/>
      <c r="B163" s="6"/>
      <c r="C163" s="6"/>
      <c r="D163" s="6"/>
      <c r="E163" s="6"/>
      <c r="F163" s="6"/>
      <c r="G163" s="11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7"/>
      <c r="S163" s="7"/>
      <c r="T163" s="6"/>
      <c r="U163" s="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2.75">
      <c r="A164" s="6"/>
      <c r="B164" s="6"/>
      <c r="C164" s="6"/>
      <c r="D164" s="6"/>
      <c r="E164" s="6"/>
      <c r="F164" s="6"/>
      <c r="G164" s="11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7"/>
      <c r="S164" s="7"/>
      <c r="T164" s="6"/>
      <c r="U164" s="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2.75">
      <c r="A165" s="6"/>
      <c r="B165" s="6"/>
      <c r="C165" s="6"/>
      <c r="D165" s="6"/>
      <c r="E165" s="6"/>
      <c r="F165" s="6"/>
      <c r="G165" s="11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7"/>
      <c r="S165" s="7"/>
      <c r="T165" s="6"/>
      <c r="U165" s="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2.75">
      <c r="A166" s="6"/>
      <c r="B166" s="6"/>
      <c r="C166" s="6"/>
      <c r="D166" s="6"/>
      <c r="E166" s="6"/>
      <c r="F166" s="6"/>
      <c r="G166" s="11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7"/>
      <c r="S166" s="7"/>
      <c r="T166" s="6"/>
      <c r="U166" s="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2.75">
      <c r="A167" s="6"/>
      <c r="B167" s="6"/>
      <c r="C167" s="6"/>
      <c r="D167" s="6"/>
      <c r="E167" s="6"/>
      <c r="F167" s="6"/>
      <c r="G167" s="11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7"/>
      <c r="S167" s="7"/>
      <c r="T167" s="6"/>
      <c r="U167" s="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2.75">
      <c r="A168" s="6"/>
      <c r="B168" s="6"/>
      <c r="C168" s="6"/>
      <c r="D168" s="6"/>
      <c r="E168" s="6"/>
      <c r="F168" s="6"/>
      <c r="G168" s="11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7"/>
      <c r="S168" s="7"/>
      <c r="T168" s="6"/>
      <c r="U168" s="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2.75">
      <c r="A169" s="6"/>
      <c r="B169" s="6"/>
      <c r="C169" s="6"/>
      <c r="D169" s="6"/>
      <c r="E169" s="6"/>
      <c r="F169" s="6"/>
      <c r="G169" s="11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7"/>
      <c r="S169" s="7"/>
      <c r="T169" s="6"/>
      <c r="U169" s="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2.75">
      <c r="A170" s="6"/>
      <c r="B170" s="6"/>
      <c r="C170" s="6"/>
      <c r="D170" s="6"/>
      <c r="E170" s="6"/>
      <c r="F170" s="6"/>
      <c r="G170" s="11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7"/>
      <c r="S170" s="7"/>
      <c r="T170" s="6"/>
      <c r="U170" s="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ht="12.75">
      <c r="A171" s="6"/>
      <c r="B171" s="6"/>
      <c r="C171" s="6"/>
      <c r="D171" s="6"/>
      <c r="E171" s="6"/>
      <c r="F171" s="6"/>
      <c r="G171" s="11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7"/>
      <c r="S171" s="7"/>
      <c r="T171" s="6"/>
      <c r="U171" s="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ht="12.75">
      <c r="A172" s="6"/>
      <c r="B172" s="6"/>
      <c r="C172" s="6"/>
      <c r="D172" s="6"/>
      <c r="E172" s="6"/>
      <c r="F172" s="6"/>
      <c r="G172" s="11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/>
      <c r="S172" s="7"/>
      <c r="T172" s="6"/>
      <c r="U172" s="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ht="12.75">
      <c r="A173" s="6"/>
      <c r="B173" s="6"/>
      <c r="C173" s="6"/>
      <c r="D173" s="6"/>
      <c r="E173" s="6"/>
      <c r="F173" s="6"/>
      <c r="G173" s="11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7"/>
      <c r="S173" s="7"/>
      <c r="T173" s="6"/>
      <c r="U173" s="7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ht="12.75">
      <c r="A174" s="6"/>
      <c r="B174" s="6"/>
      <c r="C174" s="6"/>
      <c r="D174" s="6"/>
      <c r="E174" s="6"/>
      <c r="F174" s="6"/>
      <c r="G174" s="11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7"/>
      <c r="S174" s="7"/>
      <c r="T174" s="6"/>
      <c r="U174" s="7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ht="12.75">
      <c r="A175" s="6"/>
      <c r="B175" s="6"/>
      <c r="C175" s="6"/>
      <c r="D175" s="6"/>
      <c r="E175" s="6"/>
      <c r="F175" s="6"/>
      <c r="G175" s="11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7"/>
      <c r="S175" s="7"/>
      <c r="T175" s="6"/>
      <c r="U175" s="7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ht="12.75">
      <c r="A176" s="6"/>
      <c r="B176" s="6"/>
      <c r="C176" s="6"/>
      <c r="D176" s="6"/>
      <c r="E176" s="6"/>
      <c r="F176" s="6"/>
      <c r="G176" s="11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7"/>
      <c r="S176" s="7"/>
      <c r="T176" s="6"/>
      <c r="U176" s="7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ht="12.75">
      <c r="A177" s="6"/>
      <c r="B177" s="6"/>
      <c r="C177" s="6"/>
      <c r="D177" s="6"/>
      <c r="E177" s="6"/>
      <c r="F177" s="6"/>
      <c r="G177" s="11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7"/>
      <c r="S177" s="7"/>
      <c r="T177" s="6"/>
      <c r="U177" s="7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4:38" ht="12.75">
      <c r="D178" s="6"/>
      <c r="G178" s="117"/>
      <c r="R178" s="2"/>
      <c r="S178" s="2"/>
      <c r="U178" s="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4:38" ht="12.75">
      <c r="D179" s="6"/>
      <c r="G179" s="117"/>
      <c r="R179" s="2"/>
      <c r="S179" s="2"/>
      <c r="U179" s="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4:38" ht="12.75">
      <c r="D180" s="6"/>
      <c r="G180" s="117"/>
      <c r="R180" s="2"/>
      <c r="S180" s="2"/>
      <c r="U180" s="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4:38" ht="12.75">
      <c r="D181" s="6"/>
      <c r="G181" s="117"/>
      <c r="R181" s="2"/>
      <c r="S181" s="2"/>
      <c r="U181" s="2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4:38" ht="12.75">
      <c r="D182" s="6"/>
      <c r="G182" s="117"/>
      <c r="R182" s="2"/>
      <c r="S182" s="2"/>
      <c r="U182" s="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4:38" ht="12.75">
      <c r="D183" s="6"/>
      <c r="G183" s="117"/>
      <c r="R183" s="2"/>
      <c r="S183" s="2"/>
      <c r="U183" s="2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4:38" ht="12.75">
      <c r="D184" s="6"/>
      <c r="G184" s="117"/>
      <c r="R184" s="2"/>
      <c r="S184" s="2"/>
      <c r="U184" s="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4:38" ht="12.75">
      <c r="D185" s="6"/>
      <c r="G185" s="117"/>
      <c r="R185" s="2"/>
      <c r="S185" s="2"/>
      <c r="U185" s="2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4:38" ht="12.75">
      <c r="D186" s="6"/>
      <c r="G186" s="117"/>
      <c r="R186" s="2"/>
      <c r="S186" s="2"/>
      <c r="U186" s="2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4:38" ht="12.75">
      <c r="D187" s="6"/>
      <c r="G187" s="117"/>
      <c r="R187" s="2"/>
      <c r="S187" s="2"/>
      <c r="U187" s="2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4:38" ht="12.75">
      <c r="D188" s="6"/>
      <c r="G188" s="117"/>
      <c r="R188" s="2"/>
      <c r="S188" s="2"/>
      <c r="U188" s="2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4:38" ht="12.75">
      <c r="D189" s="6"/>
      <c r="G189" s="117"/>
      <c r="R189" s="2"/>
      <c r="S189" s="2"/>
      <c r="U189" s="2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4:38" ht="12.75">
      <c r="D190" s="6"/>
      <c r="G190" s="117"/>
      <c r="R190" s="2"/>
      <c r="S190" s="2"/>
      <c r="U190" s="2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4:38" ht="12.75">
      <c r="D191" s="6"/>
      <c r="G191" s="117"/>
      <c r="R191" s="2"/>
      <c r="S191" s="2"/>
      <c r="U191" s="2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4:38" ht="12.75">
      <c r="D192" s="6"/>
      <c r="G192" s="117"/>
      <c r="R192" s="2"/>
      <c r="S192" s="2"/>
      <c r="U192" s="2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4:38" ht="12.75">
      <c r="D193" s="6"/>
      <c r="G193" s="117"/>
      <c r="R193" s="2"/>
      <c r="S193" s="2"/>
      <c r="U193" s="2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4:38" ht="12.75">
      <c r="D194" s="6"/>
      <c r="G194" s="117"/>
      <c r="R194" s="2"/>
      <c r="S194" s="2"/>
      <c r="U194" s="2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4:38" ht="12.75">
      <c r="D195" s="6"/>
      <c r="G195" s="117"/>
      <c r="R195" s="2"/>
      <c r="S195" s="2"/>
      <c r="U195" s="2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4:38" ht="12.75">
      <c r="D196" s="6"/>
      <c r="G196" s="117"/>
      <c r="R196" s="2"/>
      <c r="S196" s="2"/>
      <c r="U196" s="2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4:38" ht="12.75">
      <c r="D197" s="6"/>
      <c r="G197" s="117"/>
      <c r="R197" s="2"/>
      <c r="S197" s="2"/>
      <c r="U197" s="2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4:38" ht="12.75">
      <c r="D198" s="6"/>
      <c r="G198" s="117"/>
      <c r="R198" s="2"/>
      <c r="S198" s="2"/>
      <c r="U198" s="2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4:38" ht="12.75">
      <c r="D199" s="6"/>
      <c r="G199" s="117"/>
      <c r="R199" s="2"/>
      <c r="S199" s="2"/>
      <c r="U199" s="2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4:38" ht="12.75">
      <c r="D200" s="6"/>
      <c r="G200" s="117"/>
      <c r="R200" s="2"/>
      <c r="S200" s="2"/>
      <c r="U200" s="2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4:38" ht="12.75">
      <c r="D201" s="6"/>
      <c r="G201" s="117"/>
      <c r="R201" s="2"/>
      <c r="S201" s="2"/>
      <c r="U201" s="2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4:38" ht="12.75">
      <c r="D202" s="6"/>
      <c r="G202" s="117"/>
      <c r="R202" s="2"/>
      <c r="S202" s="2"/>
      <c r="U202" s="2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7:38" ht="12.75">
      <c r="G203" s="117"/>
      <c r="R203" s="2"/>
      <c r="S203" s="2"/>
      <c r="U203" s="2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7:38" ht="12.75">
      <c r="G204" s="117"/>
      <c r="R204" s="2"/>
      <c r="S204" s="2"/>
      <c r="U204" s="2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7:38" ht="12.75">
      <c r="G205" s="117"/>
      <c r="R205" s="2"/>
      <c r="S205" s="2"/>
      <c r="U205" s="2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7:38" ht="12.75">
      <c r="G206" s="117"/>
      <c r="R206" s="2"/>
      <c r="S206" s="2"/>
      <c r="U206" s="2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7:38" ht="12.75">
      <c r="G207" s="117"/>
      <c r="R207" s="2"/>
      <c r="S207" s="2"/>
      <c r="U207" s="2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7:38" ht="12.75">
      <c r="G208" s="117"/>
      <c r="R208" s="2"/>
      <c r="S208" s="2"/>
      <c r="U208" s="2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7:38" ht="12.75">
      <c r="G209" s="117"/>
      <c r="R209" s="2"/>
      <c r="S209" s="2"/>
      <c r="U209" s="2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7:38" ht="12.75">
      <c r="G210" s="117"/>
      <c r="R210" s="2"/>
      <c r="S210" s="2"/>
      <c r="U210" s="2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7:38" ht="12.75">
      <c r="G211" s="117"/>
      <c r="R211" s="2"/>
      <c r="S211" s="2"/>
      <c r="U211" s="2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7:38" ht="12.75">
      <c r="G212" s="117"/>
      <c r="R212" s="2"/>
      <c r="S212" s="2"/>
      <c r="U212" s="2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7:38" ht="12.75">
      <c r="G213" s="117"/>
      <c r="R213" s="2"/>
      <c r="S213" s="2"/>
      <c r="U213" s="2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7:38" ht="12.75">
      <c r="G214" s="117"/>
      <c r="R214" s="2"/>
      <c r="S214" s="2"/>
      <c r="U214" s="2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7:38" ht="12.75">
      <c r="G215" s="117"/>
      <c r="R215" s="2"/>
      <c r="S215" s="2"/>
      <c r="U215" s="2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7:38" ht="12.75">
      <c r="G216" s="117"/>
      <c r="R216" s="2"/>
      <c r="S216" s="2"/>
      <c r="U216" s="2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7:38" ht="12.75">
      <c r="G217" s="117"/>
      <c r="R217" s="2"/>
      <c r="S217" s="2"/>
      <c r="U217" s="2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7:38" ht="12.75">
      <c r="G218" s="117"/>
      <c r="R218" s="2"/>
      <c r="S218" s="2"/>
      <c r="U218" s="2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7:38" ht="12.75">
      <c r="G219" s="117"/>
      <c r="R219" s="2"/>
      <c r="S219" s="2"/>
      <c r="U219" s="2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7:38" ht="12.75">
      <c r="G220" s="117"/>
      <c r="R220" s="2"/>
      <c r="S220" s="2"/>
      <c r="U220" s="2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7:38" ht="12.75">
      <c r="G221" s="117"/>
      <c r="R221" s="2"/>
      <c r="S221" s="2"/>
      <c r="U221" s="2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7:38" ht="12.75">
      <c r="G222" s="117"/>
      <c r="R222" s="2"/>
      <c r="S222" s="2"/>
      <c r="U222" s="2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7:38" ht="12.75">
      <c r="G223" s="117"/>
      <c r="R223" s="2"/>
      <c r="S223" s="2"/>
      <c r="U223" s="2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7:38" ht="12.75">
      <c r="G224" s="117"/>
      <c r="R224" s="2"/>
      <c r="S224" s="2"/>
      <c r="U224" s="2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7:38" ht="12.75">
      <c r="G225" s="117"/>
      <c r="R225" s="2"/>
      <c r="S225" s="2"/>
      <c r="U225" s="2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7:38" ht="12.75">
      <c r="G226" s="117"/>
      <c r="R226" s="2"/>
      <c r="S226" s="2"/>
      <c r="U226" s="2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7:38" ht="12.75">
      <c r="G227" s="117"/>
      <c r="R227" s="2"/>
      <c r="S227" s="2"/>
      <c r="U227" s="2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7:38" ht="12.75">
      <c r="G228" s="117"/>
      <c r="R228" s="2"/>
      <c r="S228" s="2"/>
      <c r="U228" s="2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7:38" ht="12.75">
      <c r="G229" s="117"/>
      <c r="R229" s="2"/>
      <c r="S229" s="2"/>
      <c r="U229" s="2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7:38" ht="12.75">
      <c r="G230" s="117"/>
      <c r="R230" s="2"/>
      <c r="S230" s="2"/>
      <c r="U230" s="2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7:38" ht="12.75">
      <c r="G231" s="117"/>
      <c r="R231" s="2"/>
      <c r="S231" s="2"/>
      <c r="U231" s="2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7:38" ht="12.75">
      <c r="G232" s="117"/>
      <c r="R232" s="2"/>
      <c r="S232" s="2"/>
      <c r="U232" s="2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7:38" ht="12.75">
      <c r="G233" s="117"/>
      <c r="R233" s="2"/>
      <c r="S233" s="2"/>
      <c r="U233" s="2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7:38" ht="12.75">
      <c r="G234" s="117"/>
      <c r="R234" s="2"/>
      <c r="S234" s="2"/>
      <c r="U234" s="2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7:38" ht="12.75">
      <c r="G235" s="117"/>
      <c r="R235" s="2"/>
      <c r="S235" s="2"/>
      <c r="U235" s="2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7:38" ht="12.75">
      <c r="G236" s="117"/>
      <c r="R236" s="2"/>
      <c r="S236" s="2"/>
      <c r="U236" s="2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7:38" ht="12.75">
      <c r="G237" s="117"/>
      <c r="R237" s="2"/>
      <c r="S237" s="2"/>
      <c r="U237" s="2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7:38" ht="12.75">
      <c r="G238" s="117"/>
      <c r="R238" s="2"/>
      <c r="S238" s="2"/>
      <c r="U238" s="2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7:38" ht="12.75">
      <c r="G239" s="117"/>
      <c r="R239" s="2"/>
      <c r="S239" s="2"/>
      <c r="U239" s="2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7:38" ht="12.75">
      <c r="G240" s="117"/>
      <c r="R240" s="2"/>
      <c r="S240" s="2"/>
      <c r="U240" s="2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7:38" ht="12.75">
      <c r="G241" s="117"/>
      <c r="R241" s="2"/>
      <c r="S241" s="2"/>
      <c r="U241" s="2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7:38" ht="12.75">
      <c r="G242" s="117"/>
      <c r="R242" s="2"/>
      <c r="S242" s="2"/>
      <c r="U242" s="2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7:38" ht="12.75">
      <c r="G243" s="117"/>
      <c r="R243" s="2"/>
      <c r="S243" s="2"/>
      <c r="U243" s="2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7:38" ht="12.75">
      <c r="G244" s="117"/>
      <c r="R244" s="2"/>
      <c r="S244" s="2"/>
      <c r="U244" s="2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7:38" ht="12.75">
      <c r="G245" s="117"/>
      <c r="R245" s="2"/>
      <c r="S245" s="2"/>
      <c r="U245" s="2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7:38" ht="12.75">
      <c r="G246" s="117"/>
      <c r="R246" s="2"/>
      <c r="S246" s="2"/>
      <c r="U246" s="2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7:38" ht="12.75">
      <c r="G247" s="117"/>
      <c r="R247" s="2"/>
      <c r="S247" s="2"/>
      <c r="U247" s="2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7:38" ht="12.75">
      <c r="G248" s="117"/>
      <c r="R248" s="2"/>
      <c r="S248" s="2"/>
      <c r="U248" s="2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7:38" ht="12.75">
      <c r="G249" s="117"/>
      <c r="R249" s="2"/>
      <c r="S249" s="2"/>
      <c r="U249" s="2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7:38" ht="12.75">
      <c r="G250" s="117"/>
      <c r="R250" s="2"/>
      <c r="S250" s="2"/>
      <c r="U250" s="2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7:38" ht="12.75">
      <c r="G251" s="117"/>
      <c r="R251" s="2"/>
      <c r="S251" s="2"/>
      <c r="U251" s="2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7:38" ht="12.75">
      <c r="G252" s="117"/>
      <c r="R252" s="2"/>
      <c r="S252" s="2"/>
      <c r="U252" s="2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7:38" ht="12.75">
      <c r="G253" s="117"/>
      <c r="R253" s="2"/>
      <c r="S253" s="2"/>
      <c r="U253" s="2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7:38" ht="12.75">
      <c r="G254" s="117"/>
      <c r="R254" s="2"/>
      <c r="S254" s="2"/>
      <c r="U254" s="2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7:38" ht="12.75">
      <c r="G255" s="117"/>
      <c r="R255" s="2"/>
      <c r="S255" s="2"/>
      <c r="U255" s="2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7:38" ht="12.75">
      <c r="G256" s="117"/>
      <c r="R256" s="2"/>
      <c r="S256" s="2"/>
      <c r="U256" s="2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7:38" ht="12.75">
      <c r="G257" s="117"/>
      <c r="R257" s="2"/>
      <c r="S257" s="2"/>
      <c r="U257" s="2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7:38" ht="12.75">
      <c r="G258" s="117"/>
      <c r="R258" s="2"/>
      <c r="S258" s="2"/>
      <c r="U258" s="2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7:38" ht="12.75">
      <c r="G259" s="117"/>
      <c r="R259" s="2"/>
      <c r="S259" s="2"/>
      <c r="U259" s="2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7:38" ht="12.75">
      <c r="G260" s="117"/>
      <c r="R260" s="2"/>
      <c r="S260" s="2"/>
      <c r="U260" s="2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7:38" ht="12.75">
      <c r="G261" s="117"/>
      <c r="R261" s="2"/>
      <c r="S261" s="2"/>
      <c r="U261" s="2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7:38" ht="12.75">
      <c r="G262" s="117"/>
      <c r="R262" s="2"/>
      <c r="S262" s="2"/>
      <c r="U262" s="2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7:38" ht="12.75">
      <c r="G263" s="117"/>
      <c r="R263" s="2"/>
      <c r="S263" s="2"/>
      <c r="U263" s="2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7:38" ht="12.75">
      <c r="G264" s="117"/>
      <c r="R264" s="2"/>
      <c r="S264" s="2"/>
      <c r="U264" s="2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7:38" ht="12.75">
      <c r="G265" s="117"/>
      <c r="R265" s="2"/>
      <c r="S265" s="2"/>
      <c r="U265" s="2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7:38" ht="12.75">
      <c r="G266" s="117"/>
      <c r="R266" s="2"/>
      <c r="S266" s="2"/>
      <c r="U266" s="2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7:38" ht="12.75">
      <c r="G267" s="117"/>
      <c r="R267" s="2"/>
      <c r="S267" s="2"/>
      <c r="U267" s="2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7:38" ht="12.75">
      <c r="G268" s="117"/>
      <c r="R268" s="2"/>
      <c r="S268" s="2"/>
      <c r="U268" s="2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7:38" ht="12.75">
      <c r="G269" s="117"/>
      <c r="R269" s="2"/>
      <c r="S269" s="2"/>
      <c r="U269" s="2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7:38" ht="12.75">
      <c r="G270" s="117"/>
      <c r="R270" s="2"/>
      <c r="S270" s="2"/>
      <c r="U270" s="2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7:38" ht="12.75">
      <c r="G271" s="117"/>
      <c r="R271" s="2"/>
      <c r="S271" s="2"/>
      <c r="U271" s="2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7:38" ht="12.75">
      <c r="G272" s="117"/>
      <c r="R272" s="2"/>
      <c r="S272" s="2"/>
      <c r="U272" s="2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7:38" ht="12.75">
      <c r="G273" s="117"/>
      <c r="R273" s="2"/>
      <c r="S273" s="2"/>
      <c r="U273" s="2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7:38" ht="12.75">
      <c r="G274" s="117"/>
      <c r="R274" s="2"/>
      <c r="S274" s="2"/>
      <c r="U274" s="2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7:38" ht="12.75">
      <c r="G275" s="117"/>
      <c r="R275" s="2"/>
      <c r="S275" s="2"/>
      <c r="U275" s="2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7:38" ht="12.75">
      <c r="G276" s="117"/>
      <c r="R276" s="2"/>
      <c r="S276" s="2"/>
      <c r="U276" s="2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7:38" ht="12.75">
      <c r="G277" s="117"/>
      <c r="R277" s="2"/>
      <c r="S277" s="2"/>
      <c r="U277" s="2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7:38" ht="12.75">
      <c r="G278" s="117"/>
      <c r="R278" s="2"/>
      <c r="S278" s="2"/>
      <c r="U278" s="2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7:38" ht="12.75">
      <c r="G279" s="117"/>
      <c r="R279" s="2"/>
      <c r="S279" s="2"/>
      <c r="U279" s="2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7:38" ht="12.75">
      <c r="G280" s="117"/>
      <c r="R280" s="2"/>
      <c r="S280" s="2"/>
      <c r="U280" s="2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7:38" ht="12.75">
      <c r="G281" s="117"/>
      <c r="R281" s="2"/>
      <c r="S281" s="2"/>
      <c r="U281" s="2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7:38" ht="12.75">
      <c r="G282" s="117"/>
      <c r="R282" s="2"/>
      <c r="S282" s="2"/>
      <c r="U282" s="2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7:38" ht="12.75">
      <c r="G283" s="117"/>
      <c r="R283" s="2"/>
      <c r="S283" s="2"/>
      <c r="U283" s="2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7:38" ht="12.75">
      <c r="G284" s="117"/>
      <c r="R284" s="2"/>
      <c r="S284" s="2"/>
      <c r="U284" s="2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7:38" ht="12.75">
      <c r="G285" s="117"/>
      <c r="R285" s="2"/>
      <c r="S285" s="2"/>
      <c r="U285" s="2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7:38" ht="12.75">
      <c r="G286" s="117"/>
      <c r="R286" s="2"/>
      <c r="S286" s="2"/>
      <c r="U286" s="2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7:38" ht="12.75">
      <c r="G287" s="117"/>
      <c r="R287" s="2"/>
      <c r="S287" s="2"/>
      <c r="U287" s="2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7:38" ht="12.75">
      <c r="G288" s="117"/>
      <c r="R288" s="2"/>
      <c r="S288" s="2"/>
      <c r="U288" s="2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7:38" ht="12.75">
      <c r="G289" s="117"/>
      <c r="R289" s="2"/>
      <c r="S289" s="2"/>
      <c r="U289" s="2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7:38" ht="12.75">
      <c r="G290" s="117"/>
      <c r="R290" s="2"/>
      <c r="S290" s="2"/>
      <c r="U290" s="2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7:38" ht="12.75">
      <c r="G291" s="117"/>
      <c r="R291" s="2"/>
      <c r="S291" s="2"/>
      <c r="U291" s="2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7:38" ht="12.75">
      <c r="G292" s="117"/>
      <c r="R292" s="2"/>
      <c r="S292" s="2"/>
      <c r="U292" s="2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7:38" ht="12.75">
      <c r="G293" s="117"/>
      <c r="R293" s="2"/>
      <c r="S293" s="2"/>
      <c r="U293" s="2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7:38" ht="12.75">
      <c r="G294" s="117"/>
      <c r="R294" s="2"/>
      <c r="S294" s="2"/>
      <c r="U294" s="2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7:38" ht="12.75">
      <c r="G295" s="117"/>
      <c r="R295" s="2"/>
      <c r="S295" s="2"/>
      <c r="U295" s="2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7:38" ht="12.75">
      <c r="G296" s="117"/>
      <c r="R296" s="2"/>
      <c r="S296" s="2"/>
      <c r="U296" s="2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</sheetData>
  <sheetProtection/>
  <mergeCells count="19">
    <mergeCell ref="V5:W5"/>
    <mergeCell ref="U57:AL57"/>
    <mergeCell ref="E105:E106"/>
    <mergeCell ref="F105:F106"/>
    <mergeCell ref="G105:G106"/>
    <mergeCell ref="H105:H106"/>
    <mergeCell ref="K102:K103"/>
    <mergeCell ref="L102:L103"/>
    <mergeCell ref="B58:U58"/>
    <mergeCell ref="F102:F103"/>
    <mergeCell ref="I105:I106"/>
    <mergeCell ref="J105:J106"/>
    <mergeCell ref="K105:K106"/>
    <mergeCell ref="E1:N1"/>
    <mergeCell ref="G102:G103"/>
    <mergeCell ref="H102:H103"/>
    <mergeCell ref="I102:I103"/>
    <mergeCell ref="J102:J103"/>
    <mergeCell ref="R2:U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0" r:id="rId1"/>
  <rowBreaks count="2" manualBreakCount="2">
    <brk id="26" max="20" man="1"/>
    <brk id="57" max="2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1"/>
  <sheetViews>
    <sheetView view="pageBreakPreview" zoomScale="75" zoomScaleSheetLayoutView="75" zoomScalePageLayoutView="0" workbookViewId="0" topLeftCell="A1">
      <selection activeCell="R2" sqref="R2:U2"/>
    </sheetView>
  </sheetViews>
  <sheetFormatPr defaultColWidth="9.140625" defaultRowHeight="12.75"/>
  <cols>
    <col min="1" max="1" width="44.140625" style="0" customWidth="1"/>
    <col min="2" max="2" width="15.8515625" style="0" customWidth="1"/>
    <col min="3" max="3" width="14.8515625" style="0" customWidth="1"/>
    <col min="4" max="4" width="12.8515625" style="0" customWidth="1"/>
    <col min="5" max="5" width="13.421875" style="0" customWidth="1"/>
    <col min="6" max="6" width="12.28125" style="0" customWidth="1"/>
    <col min="7" max="7" width="11.140625" style="0" customWidth="1"/>
    <col min="8" max="8" width="12.00390625" style="0" customWidth="1"/>
    <col min="9" max="9" width="13.140625" style="0" customWidth="1"/>
    <col min="10" max="10" width="16.7109375" style="0" customWidth="1"/>
    <col min="11" max="11" width="17.57421875" style="0" customWidth="1"/>
    <col min="12" max="12" width="12.140625" style="0" customWidth="1"/>
    <col min="13" max="13" width="11.421875" style="0" customWidth="1"/>
    <col min="14" max="14" width="12.28125" style="0" customWidth="1"/>
    <col min="15" max="15" width="16.28125" style="0" customWidth="1"/>
    <col min="16" max="16" width="12.140625" style="0" customWidth="1"/>
    <col min="17" max="17" width="11.421875" style="0" customWidth="1"/>
    <col min="18" max="18" width="18.00390625" style="0" customWidth="1"/>
    <col min="19" max="19" width="9.28125" style="0" bestFit="1" customWidth="1"/>
    <col min="20" max="20" width="12.57421875" style="0" customWidth="1"/>
    <col min="21" max="21" width="13.8515625" style="0" customWidth="1"/>
    <col min="22" max="22" width="9.421875" style="0" bestFit="1" customWidth="1"/>
    <col min="23" max="23" width="11.140625" style="0" customWidth="1"/>
    <col min="24" max="24" width="11.28125" style="0" customWidth="1"/>
    <col min="28" max="28" width="9.28125" style="0" bestFit="1" customWidth="1"/>
    <col min="31" max="31" width="9.28125" style="0" bestFit="1" customWidth="1"/>
    <col min="33" max="33" width="9.28125" style="0" bestFit="1" customWidth="1"/>
  </cols>
  <sheetData>
    <row r="1" spans="1:38" ht="20.25">
      <c r="A1" s="41"/>
      <c r="B1" s="4" t="s">
        <v>76</v>
      </c>
      <c r="C1" s="41"/>
      <c r="D1" s="41"/>
      <c r="E1" s="209" t="s">
        <v>141</v>
      </c>
      <c r="F1" s="210"/>
      <c r="G1" s="210"/>
      <c r="H1" s="210"/>
      <c r="I1" s="210"/>
      <c r="J1" s="210"/>
      <c r="K1" s="210"/>
      <c r="L1" s="210"/>
      <c r="M1" s="210"/>
      <c r="N1" s="210"/>
      <c r="O1" s="132"/>
      <c r="P1" s="159"/>
      <c r="Q1" s="132"/>
      <c r="R1" s="133"/>
      <c r="S1" s="133"/>
      <c r="T1" s="133"/>
      <c r="U1" s="4"/>
      <c r="V1" s="4"/>
      <c r="W1" s="5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211" t="s">
        <v>47</v>
      </c>
      <c r="S2" s="211"/>
      <c r="T2" s="211"/>
      <c r="U2" s="211"/>
      <c r="V2" s="4"/>
      <c r="W2" s="5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51">
      <c r="A3" s="14" t="s">
        <v>68</v>
      </c>
      <c r="B3" s="14" t="s">
        <v>69</v>
      </c>
      <c r="C3" s="13" t="s">
        <v>14</v>
      </c>
      <c r="D3" s="13" t="s">
        <v>133</v>
      </c>
      <c r="E3" s="13" t="s">
        <v>67</v>
      </c>
      <c r="F3" s="13" t="s">
        <v>128</v>
      </c>
      <c r="G3" s="112" t="s">
        <v>54</v>
      </c>
      <c r="H3" s="13" t="s">
        <v>77</v>
      </c>
      <c r="I3" s="13" t="s">
        <v>32</v>
      </c>
      <c r="J3" s="13" t="s">
        <v>93</v>
      </c>
      <c r="K3" s="13" t="s">
        <v>94</v>
      </c>
      <c r="L3" s="13" t="s">
        <v>143</v>
      </c>
      <c r="M3" s="202" t="s">
        <v>38</v>
      </c>
      <c r="N3" s="13" t="s">
        <v>73</v>
      </c>
      <c r="O3" s="24" t="s">
        <v>49</v>
      </c>
      <c r="P3" s="13" t="s">
        <v>95</v>
      </c>
      <c r="Q3" s="13" t="s">
        <v>70</v>
      </c>
      <c r="R3" s="13" t="s">
        <v>50</v>
      </c>
      <c r="S3" s="13" t="s">
        <v>135</v>
      </c>
      <c r="T3" s="112" t="s">
        <v>29</v>
      </c>
      <c r="U3" s="13" t="s">
        <v>72</v>
      </c>
      <c r="V3" s="100" t="s">
        <v>122</v>
      </c>
      <c r="W3" s="101"/>
      <c r="X3" s="1"/>
      <c r="Y3" s="10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9" customHeight="1">
      <c r="A4" s="22" t="s">
        <v>123</v>
      </c>
      <c r="B4" s="18" t="s">
        <v>81</v>
      </c>
      <c r="C4" s="28">
        <f>39979.29</f>
        <v>39979.29</v>
      </c>
      <c r="D4" s="28">
        <f>20.16*13</f>
        <v>262.08</v>
      </c>
      <c r="E4" s="28">
        <f>13.94*13</f>
        <v>181.22</v>
      </c>
      <c r="F4" s="28">
        <f>0</f>
        <v>0</v>
      </c>
      <c r="G4" s="28">
        <f>C4/12</f>
        <v>3331.6075</v>
      </c>
      <c r="H4" s="28">
        <f>0</f>
        <v>0</v>
      </c>
      <c r="I4" s="28"/>
      <c r="J4" s="28"/>
      <c r="K4" s="29"/>
      <c r="L4" s="29">
        <f>7837.57</f>
        <v>7837.57</v>
      </c>
      <c r="M4" s="16">
        <f>((C4+D4+E4+F4+G4+L4)/2)*0.1</f>
        <v>2579.5883750000003</v>
      </c>
      <c r="N4" s="28">
        <f>C4+D4+E4+G4+L4</f>
        <v>51591.7675</v>
      </c>
      <c r="O4" s="28">
        <f>N4*0.238</f>
        <v>12278.840665</v>
      </c>
      <c r="P4" s="28">
        <f>N4*0.0288</f>
        <v>1485.842904</v>
      </c>
      <c r="Q4" s="28">
        <v>0</v>
      </c>
      <c r="R4" s="28">
        <f>SUM(O4:Q4)</f>
        <v>13764.683569</v>
      </c>
      <c r="S4" s="20">
        <v>0</v>
      </c>
      <c r="T4" s="28">
        <f>N4*0.085</f>
        <v>4385.300237500001</v>
      </c>
      <c r="U4" s="28">
        <f>+N4+R4+T4</f>
        <v>69741.75130650001</v>
      </c>
      <c r="V4" s="190">
        <f>+(U4+U5)*50%</f>
        <v>46527.47168757188</v>
      </c>
      <c r="W4" s="190"/>
      <c r="X4" s="201" t="s">
        <v>127</v>
      </c>
      <c r="Y4" s="103"/>
      <c r="Z4" s="1"/>
      <c r="AA4" s="1"/>
      <c r="AB4" s="1"/>
      <c r="AC4" s="1"/>
      <c r="AD4" s="1"/>
      <c r="AE4" s="1"/>
      <c r="AF4" s="103"/>
      <c r="AG4" s="42"/>
      <c r="AH4" s="103"/>
      <c r="AI4" s="1"/>
      <c r="AJ4" s="1"/>
      <c r="AK4" s="1"/>
      <c r="AL4" s="1"/>
    </row>
    <row r="5" spans="1:38" ht="40.5" customHeight="1">
      <c r="A5" s="22" t="s">
        <v>42</v>
      </c>
      <c r="B5" s="18" t="s">
        <v>81</v>
      </c>
      <c r="C5" s="28"/>
      <c r="D5" s="28"/>
      <c r="E5" s="28"/>
      <c r="F5" s="28"/>
      <c r="G5" s="28"/>
      <c r="H5" s="28"/>
      <c r="I5" s="28"/>
      <c r="J5" s="28">
        <f>(C4+E4+G4+L4)*0.25+K5*0.25</f>
        <v>12832.421875</v>
      </c>
      <c r="K5" s="28"/>
      <c r="L5" s="28"/>
      <c r="M5" s="28">
        <f>J5/2*0.1</f>
        <v>641.62109375</v>
      </c>
      <c r="N5" s="29">
        <f>M4+J5+K5+M5+M6</f>
        <v>17342.11513125</v>
      </c>
      <c r="O5" s="28">
        <f>N5*0.238</f>
        <v>4127.4234012375</v>
      </c>
      <c r="P5" s="28">
        <f>(+J5+K5)*0.0288</f>
        <v>369.57375</v>
      </c>
      <c r="Q5" s="28">
        <v>0</v>
      </c>
      <c r="R5" s="28">
        <f>SUM(O5:Q5)</f>
        <v>4496.9971512375</v>
      </c>
      <c r="S5" s="20">
        <v>0</v>
      </c>
      <c r="T5" s="28">
        <f>N5*0.085</f>
        <v>1474.07978615625</v>
      </c>
      <c r="U5" s="28">
        <f>+N5+R5+T5</f>
        <v>23313.192068643748</v>
      </c>
      <c r="V5" s="230">
        <f>+U5/2</f>
        <v>11656.596034321874</v>
      </c>
      <c r="W5" s="231"/>
      <c r="X5" s="42"/>
      <c r="Y5" s="1"/>
      <c r="Z5" s="1"/>
      <c r="AA5" s="42"/>
      <c r="AB5" s="1">
        <f>+AA5*50%</f>
        <v>0</v>
      </c>
      <c r="AC5" s="1"/>
      <c r="AD5" s="1"/>
      <c r="AE5" s="1"/>
      <c r="AF5" s="1"/>
      <c r="AG5" s="42"/>
      <c r="AH5" s="1"/>
      <c r="AI5" s="1"/>
      <c r="AJ5" s="1"/>
      <c r="AK5" s="1"/>
      <c r="AL5" s="1"/>
    </row>
    <row r="6" spans="1:38" ht="40.5" customHeight="1">
      <c r="A6" s="22" t="s">
        <v>142</v>
      </c>
      <c r="B6" s="18"/>
      <c r="C6" s="28"/>
      <c r="D6" s="28"/>
      <c r="E6" s="28"/>
      <c r="F6" s="28"/>
      <c r="G6" s="28"/>
      <c r="H6" s="28"/>
      <c r="I6" s="28"/>
      <c r="J6" s="28"/>
      <c r="K6" s="29"/>
      <c r="L6" s="29"/>
      <c r="M6" s="28">
        <f>N6*0.1</f>
        <v>1288.4837875000003</v>
      </c>
      <c r="N6" s="16">
        <f>(C4+D4+E4+G4+J5+K5+L4)/5</f>
        <v>12884.837875000001</v>
      </c>
      <c r="O6" s="28">
        <f>+N6*23.8%</f>
        <v>3066.5914142500005</v>
      </c>
      <c r="P6" s="28">
        <v>0</v>
      </c>
      <c r="Q6" s="28">
        <v>0</v>
      </c>
      <c r="R6" s="28">
        <f>+O6+P6+Q6</f>
        <v>3066.5914142500005</v>
      </c>
      <c r="S6" s="20"/>
      <c r="T6" s="28">
        <f>N6*0.085</f>
        <v>1095.2112193750002</v>
      </c>
      <c r="U6" s="28">
        <f>+N6+R6+T6</f>
        <v>17046.640508625</v>
      </c>
      <c r="V6" s="200" t="s">
        <v>36</v>
      </c>
      <c r="W6" s="191"/>
      <c r="X6" s="42"/>
      <c r="Y6" s="1"/>
      <c r="Z6" s="1"/>
      <c r="AA6" s="42"/>
      <c r="AB6" s="1"/>
      <c r="AC6" s="1"/>
      <c r="AD6" s="1"/>
      <c r="AE6" s="1"/>
      <c r="AF6" s="1"/>
      <c r="AG6" s="42"/>
      <c r="AH6" s="1"/>
      <c r="AI6" s="1"/>
      <c r="AJ6" s="1"/>
      <c r="AK6" s="1"/>
      <c r="AL6" s="1"/>
    </row>
    <row r="7" spans="1:38" ht="41.25" customHeight="1">
      <c r="A7" s="19" t="s">
        <v>103</v>
      </c>
      <c r="B7" s="12" t="s">
        <v>79</v>
      </c>
      <c r="C7" s="15">
        <f>22203.89</f>
        <v>22203.89</v>
      </c>
      <c r="D7" s="141">
        <f>13.88*13</f>
        <v>180.44</v>
      </c>
      <c r="E7" s="15">
        <v>0</v>
      </c>
      <c r="F7" s="15">
        <v>0</v>
      </c>
      <c r="G7" s="195">
        <f>C7/12</f>
        <v>1850.3241666666665</v>
      </c>
      <c r="H7" s="15">
        <f>51.9*12</f>
        <v>622.8</v>
      </c>
      <c r="I7" s="15"/>
      <c r="J7" s="15"/>
      <c r="K7" s="15"/>
      <c r="L7" s="15"/>
      <c r="M7" s="15"/>
      <c r="N7" s="15">
        <f>SUM(C7:M7)</f>
        <v>24857.454166666663</v>
      </c>
      <c r="O7" s="15">
        <f aca="true" t="shared" si="0" ref="O7:O30">N7*0.238</f>
        <v>5916.0740916666655</v>
      </c>
      <c r="P7" s="15">
        <f>SUM(C7:G7)*0.8*0.061</f>
        <v>1182.651123333333</v>
      </c>
      <c r="Q7" s="195">
        <f aca="true" t="shared" si="1" ref="Q7:Q18">N7*0.00505-N7*0.00505*15.38%</f>
        <v>106.22360746495832</v>
      </c>
      <c r="R7" s="15">
        <f>SUM(O7:Q7)</f>
        <v>7204.948822464957</v>
      </c>
      <c r="S7" s="20">
        <v>0</v>
      </c>
      <c r="T7" s="15">
        <f>N7*0.085</f>
        <v>2112.8836041666664</v>
      </c>
      <c r="U7" s="15">
        <f aca="true" t="shared" si="2" ref="U7:U13">N7+R7+T7</f>
        <v>34175.28659329829</v>
      </c>
      <c r="V7" s="43"/>
      <c r="W7" s="43"/>
      <c r="X7" s="53"/>
      <c r="Y7" s="3"/>
      <c r="Z7" s="3"/>
      <c r="AA7" s="3"/>
      <c r="AB7" s="3"/>
      <c r="AC7" s="3"/>
      <c r="AD7" s="3"/>
      <c r="AE7" s="3"/>
      <c r="AF7" s="3"/>
      <c r="AG7" s="53" t="e">
        <f>+#REF!-#REF!</f>
        <v>#REF!</v>
      </c>
      <c r="AH7" s="3"/>
      <c r="AI7" s="3"/>
      <c r="AJ7" s="3"/>
      <c r="AK7" s="3"/>
      <c r="AL7" s="3"/>
    </row>
    <row r="8" spans="1:38" ht="46.5" customHeight="1">
      <c r="A8" s="45" t="s">
        <v>86</v>
      </c>
      <c r="B8" s="50" t="s">
        <v>79</v>
      </c>
      <c r="C8" s="48"/>
      <c r="D8" s="3"/>
      <c r="E8" s="48"/>
      <c r="F8" s="48"/>
      <c r="G8" s="195">
        <f aca="true" t="shared" si="3" ref="G8:G29">C8/12</f>
        <v>0</v>
      </c>
      <c r="H8" s="48"/>
      <c r="I8" s="48"/>
      <c r="J8" s="48"/>
      <c r="K8" s="48"/>
      <c r="L8" s="48">
        <f>(6400+(6400*25%))</f>
        <v>8000</v>
      </c>
      <c r="M8" s="48"/>
      <c r="N8" s="48">
        <f>L8</f>
        <v>8000</v>
      </c>
      <c r="O8" s="48">
        <f t="shared" si="0"/>
        <v>1904</v>
      </c>
      <c r="P8" s="48">
        <f>6400*0.8*0.061</f>
        <v>312.32</v>
      </c>
      <c r="Q8" s="48">
        <f t="shared" si="1"/>
        <v>34.186479999999996</v>
      </c>
      <c r="R8" s="48">
        <f>O8+P8+Q8</f>
        <v>2250.50648</v>
      </c>
      <c r="S8" s="20">
        <v>0</v>
      </c>
      <c r="T8" s="48">
        <f>L8*0.085</f>
        <v>680</v>
      </c>
      <c r="U8" s="48">
        <f t="shared" si="2"/>
        <v>10930.50648</v>
      </c>
      <c r="V8" s="43"/>
      <c r="W8" s="192">
        <f>0.085*100</f>
        <v>8.5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9.25" customHeight="1">
      <c r="A9" s="12" t="s">
        <v>56</v>
      </c>
      <c r="B9" s="12" t="s">
        <v>75</v>
      </c>
      <c r="C9" s="15">
        <f>19917.86</f>
        <v>19917.86</v>
      </c>
      <c r="D9" s="141">
        <f>12.45*13</f>
        <v>161.85</v>
      </c>
      <c r="E9" s="15">
        <v>0</v>
      </c>
      <c r="F9" s="15">
        <v>0</v>
      </c>
      <c r="G9" s="195">
        <f t="shared" si="3"/>
        <v>1659.8216666666667</v>
      </c>
      <c r="H9" s="15">
        <f>45.8*12</f>
        <v>549.5999999999999</v>
      </c>
      <c r="I9" s="15"/>
      <c r="J9" s="15"/>
      <c r="K9" s="15"/>
      <c r="L9" s="15"/>
      <c r="M9" s="15"/>
      <c r="N9" s="15">
        <f aca="true" t="shared" si="4" ref="N9:N14">SUM(C9:M9)</f>
        <v>22289.131666666664</v>
      </c>
      <c r="O9" s="15">
        <f t="shared" si="0"/>
        <v>5304.813336666666</v>
      </c>
      <c r="P9" s="15">
        <f>SUM(C9:G9)*0.8*0.036</f>
        <v>626.0985119999999</v>
      </c>
      <c r="Q9" s="195">
        <f t="shared" si="1"/>
        <v>95.24836924248332</v>
      </c>
      <c r="R9" s="15">
        <f>SUM(O9:Q9)</f>
        <v>6026.160217909149</v>
      </c>
      <c r="S9" s="20">
        <v>0</v>
      </c>
      <c r="T9" s="15">
        <f aca="true" t="shared" si="5" ref="T9:T14">N9*0.085</f>
        <v>1894.5761916666665</v>
      </c>
      <c r="U9" s="15">
        <f t="shared" si="2"/>
        <v>30209.86807624248</v>
      </c>
      <c r="V9" s="111"/>
      <c r="W9" s="111">
        <f>0.0255*100</f>
        <v>2.55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53.25" customHeight="1">
      <c r="A10" s="19" t="s">
        <v>91</v>
      </c>
      <c r="B10" s="12" t="s">
        <v>57</v>
      </c>
      <c r="C10" s="15">
        <f>18229.92</f>
        <v>18229.92</v>
      </c>
      <c r="D10" s="141">
        <f>11.39*13</f>
        <v>148.07</v>
      </c>
      <c r="E10" s="15">
        <v>0</v>
      </c>
      <c r="F10" s="15">
        <v>0</v>
      </c>
      <c r="G10" s="195">
        <f t="shared" si="3"/>
        <v>1519.1599999999999</v>
      </c>
      <c r="H10" s="15">
        <f>45.8*12</f>
        <v>549.5999999999999</v>
      </c>
      <c r="I10" s="15"/>
      <c r="J10" s="15"/>
      <c r="K10" s="15"/>
      <c r="L10" s="15"/>
      <c r="M10" s="15"/>
      <c r="N10" s="15">
        <f t="shared" si="4"/>
        <v>20446.749999999996</v>
      </c>
      <c r="O10" s="15">
        <f t="shared" si="0"/>
        <v>4866.326499999999</v>
      </c>
      <c r="P10" s="15">
        <f>SUM(C10:G10)*0.8*0.061</f>
        <v>970.98092</v>
      </c>
      <c r="Q10" s="195">
        <f t="shared" si="1"/>
        <v>87.37530124249997</v>
      </c>
      <c r="R10" s="15">
        <f>SUM(O10:Q10)</f>
        <v>5924.6827212425</v>
      </c>
      <c r="S10" s="20">
        <v>0</v>
      </c>
      <c r="T10" s="15">
        <f t="shared" si="5"/>
        <v>1737.9737499999999</v>
      </c>
      <c r="U10" s="15">
        <f t="shared" si="2"/>
        <v>28109.4064712425</v>
      </c>
      <c r="V10" s="134"/>
      <c r="W10" s="9"/>
      <c r="X10" s="9"/>
      <c r="Y10" s="9"/>
      <c r="Z10" s="9"/>
      <c r="AA10" s="9"/>
      <c r="AB10" s="9"/>
      <c r="AC10" s="9"/>
      <c r="AD10" s="9"/>
      <c r="AE10" s="9">
        <f>15584.45-18592.45</f>
        <v>-3008</v>
      </c>
      <c r="AF10" s="9"/>
      <c r="AG10" s="9"/>
      <c r="AH10" s="9"/>
      <c r="AI10" s="9"/>
      <c r="AJ10" s="9"/>
      <c r="AK10" s="9"/>
      <c r="AL10" s="9"/>
    </row>
    <row r="11" spans="1:38" ht="39" customHeight="1">
      <c r="A11" s="197" t="s">
        <v>31</v>
      </c>
      <c r="B11" s="12" t="s">
        <v>62</v>
      </c>
      <c r="C11" s="15">
        <v>0</v>
      </c>
      <c r="D11" s="141">
        <v>0</v>
      </c>
      <c r="E11" s="15">
        <v>0</v>
      </c>
      <c r="F11" s="15">
        <v>0</v>
      </c>
      <c r="G11" s="195">
        <f t="shared" si="3"/>
        <v>0</v>
      </c>
      <c r="H11" s="15">
        <v>0</v>
      </c>
      <c r="I11" s="15"/>
      <c r="J11" s="15"/>
      <c r="K11" s="15"/>
      <c r="L11" s="15"/>
      <c r="M11" s="15"/>
      <c r="N11" s="15">
        <f t="shared" si="4"/>
        <v>0</v>
      </c>
      <c r="O11" s="15">
        <f t="shared" si="0"/>
        <v>0</v>
      </c>
      <c r="P11" s="15">
        <f>SUM(C11:G11)*0.8*0.036</f>
        <v>0</v>
      </c>
      <c r="Q11" s="195">
        <f t="shared" si="1"/>
        <v>0</v>
      </c>
      <c r="R11" s="15">
        <f>SUM(O11:Q11)</f>
        <v>0</v>
      </c>
      <c r="S11" s="20">
        <v>0</v>
      </c>
      <c r="T11" s="15">
        <f t="shared" si="5"/>
        <v>0</v>
      </c>
      <c r="U11" s="15">
        <f t="shared" si="2"/>
        <v>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33" customHeight="1">
      <c r="A12" s="13" t="s">
        <v>65</v>
      </c>
      <c r="B12" s="14" t="s">
        <v>62</v>
      </c>
      <c r="C12" s="20">
        <f>18496.61</f>
        <v>18496.61</v>
      </c>
      <c r="D12" s="144">
        <f>11.56*13</f>
        <v>150.28</v>
      </c>
      <c r="E12" s="15">
        <v>0</v>
      </c>
      <c r="F12" s="20">
        <f>4.61*13</f>
        <v>59.93000000000001</v>
      </c>
      <c r="G12" s="195">
        <f t="shared" si="3"/>
        <v>1541.3841666666667</v>
      </c>
      <c r="H12" s="15">
        <f>39.31*12</f>
        <v>471.72</v>
      </c>
      <c r="I12" s="20"/>
      <c r="J12" s="20"/>
      <c r="K12" s="20"/>
      <c r="L12" s="15"/>
      <c r="M12" s="15"/>
      <c r="N12" s="15">
        <f t="shared" si="4"/>
        <v>20719.924166666668</v>
      </c>
      <c r="O12" s="20">
        <f t="shared" si="0"/>
        <v>4931.341951666666</v>
      </c>
      <c r="P12" s="20">
        <f>SUM(C12:G12)*0.8*0.036</f>
        <v>583.14828</v>
      </c>
      <c r="Q12" s="195">
        <f t="shared" si="1"/>
        <v>88.54265914065833</v>
      </c>
      <c r="R12" s="20">
        <f aca="true" t="shared" si="6" ref="R12:R30">O12+P12+Q12</f>
        <v>5603.032890807325</v>
      </c>
      <c r="S12" s="20">
        <v>0</v>
      </c>
      <c r="T12" s="15">
        <f t="shared" si="5"/>
        <v>1761.193554166667</v>
      </c>
      <c r="U12" s="15">
        <f t="shared" si="2"/>
        <v>28084.15061164066</v>
      </c>
      <c r="V12" s="9"/>
      <c r="W12" s="104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43.5" customHeight="1">
      <c r="A13" s="19" t="s">
        <v>132</v>
      </c>
      <c r="B13" s="19" t="s">
        <v>74</v>
      </c>
      <c r="C13" s="137">
        <f>19454.15/36*32</f>
        <v>17292.57777777778</v>
      </c>
      <c r="D13" s="141">
        <f>12.16*13</f>
        <v>158.08</v>
      </c>
      <c r="E13" s="138">
        <v>0</v>
      </c>
      <c r="F13" s="138">
        <v>0</v>
      </c>
      <c r="G13" s="195">
        <f t="shared" si="3"/>
        <v>1441.0481481481484</v>
      </c>
      <c r="H13" s="17">
        <f>(45.08*12)/36*32</f>
        <v>480.85333333333335</v>
      </c>
      <c r="I13" s="17"/>
      <c r="J13" s="17"/>
      <c r="K13" s="17"/>
      <c r="L13" s="15"/>
      <c r="M13" s="15"/>
      <c r="N13" s="15">
        <f t="shared" si="4"/>
        <v>19372.559259259262</v>
      </c>
      <c r="O13" s="17">
        <f t="shared" si="0"/>
        <v>4610.669103703704</v>
      </c>
      <c r="P13" s="17">
        <f>SUM(C13:G13)*0.8*0.061</f>
        <v>921.9152491851854</v>
      </c>
      <c r="Q13" s="195">
        <f t="shared" si="1"/>
        <v>82.78495120818519</v>
      </c>
      <c r="R13" s="83">
        <f t="shared" si="6"/>
        <v>5615.369304097075</v>
      </c>
      <c r="S13" s="83">
        <v>0</v>
      </c>
      <c r="T13" s="15">
        <f t="shared" si="5"/>
        <v>1646.6675370370374</v>
      </c>
      <c r="U13" s="15">
        <f t="shared" si="2"/>
        <v>26634.596100393373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46.5" customHeight="1">
      <c r="A14" s="13" t="s">
        <v>82</v>
      </c>
      <c r="B14" s="14" t="s">
        <v>80</v>
      </c>
      <c r="C14" s="20">
        <f>17531.61</f>
        <v>17531.61</v>
      </c>
      <c r="D14" s="141">
        <f>10.96*13</f>
        <v>142.48000000000002</v>
      </c>
      <c r="E14" s="15">
        <v>0</v>
      </c>
      <c r="F14" s="15">
        <v>0</v>
      </c>
      <c r="G14" s="195">
        <f t="shared" si="3"/>
        <v>1460.9675</v>
      </c>
      <c r="H14" s="15">
        <f>39.31*12</f>
        <v>471.72</v>
      </c>
      <c r="I14" s="20"/>
      <c r="J14" s="20"/>
      <c r="K14" s="20"/>
      <c r="L14" s="15"/>
      <c r="M14" s="15"/>
      <c r="N14" s="15">
        <f t="shared" si="4"/>
        <v>19606.7775</v>
      </c>
      <c r="O14" s="20">
        <f t="shared" si="0"/>
        <v>4666.413045</v>
      </c>
      <c r="P14" s="20">
        <f>SUM(C14:G14)*0.8*0.061</f>
        <v>933.790806</v>
      </c>
      <c r="Q14" s="195">
        <f t="shared" si="1"/>
        <v>83.78583835852498</v>
      </c>
      <c r="R14" s="20">
        <f t="shared" si="6"/>
        <v>5683.9896893585255</v>
      </c>
      <c r="S14" s="20">
        <v>0</v>
      </c>
      <c r="T14" s="15">
        <f t="shared" si="5"/>
        <v>1666.5760875</v>
      </c>
      <c r="U14" s="15">
        <f aca="true" t="shared" si="7" ref="U14:U30">N14+R14+T14</f>
        <v>26957.343276858526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37.5" customHeight="1">
      <c r="A15" s="45" t="s">
        <v>97</v>
      </c>
      <c r="B15" s="12"/>
      <c r="C15" s="15"/>
      <c r="D15" s="15"/>
      <c r="E15" s="15"/>
      <c r="F15" s="15"/>
      <c r="G15" s="195">
        <f t="shared" si="3"/>
        <v>0</v>
      </c>
      <c r="H15" s="15"/>
      <c r="I15" s="15"/>
      <c r="J15" s="15"/>
      <c r="K15" s="15"/>
      <c r="L15" s="48">
        <f>(6400+(6400*25%))</f>
        <v>8000</v>
      </c>
      <c r="M15" s="48"/>
      <c r="N15" s="48">
        <f>L15</f>
        <v>8000</v>
      </c>
      <c r="O15" s="48">
        <f t="shared" si="0"/>
        <v>1904</v>
      </c>
      <c r="P15" s="48">
        <f>6400*0.8*0.061</f>
        <v>312.32</v>
      </c>
      <c r="Q15" s="48">
        <f t="shared" si="1"/>
        <v>34.186479999999996</v>
      </c>
      <c r="R15" s="48">
        <f t="shared" si="6"/>
        <v>2250.50648</v>
      </c>
      <c r="S15" s="48">
        <v>0</v>
      </c>
      <c r="T15" s="48">
        <f>L15*0.085</f>
        <v>680</v>
      </c>
      <c r="U15" s="48">
        <f t="shared" si="7"/>
        <v>10930.50648</v>
      </c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9"/>
    </row>
    <row r="16" spans="1:38" ht="36" customHeight="1">
      <c r="A16" s="19" t="s">
        <v>102</v>
      </c>
      <c r="B16" s="12" t="s">
        <v>71</v>
      </c>
      <c r="C16" s="15">
        <f>21166.71</f>
        <v>21166.71</v>
      </c>
      <c r="D16" s="83">
        <f>13.23*13</f>
        <v>171.99</v>
      </c>
      <c r="E16" s="15">
        <v>0</v>
      </c>
      <c r="F16" s="15">
        <v>0</v>
      </c>
      <c r="G16" s="195">
        <f t="shared" si="3"/>
        <v>1763.8925</v>
      </c>
      <c r="H16" s="15">
        <f>51.9*12</f>
        <v>622.8</v>
      </c>
      <c r="I16" s="15"/>
      <c r="J16" s="15"/>
      <c r="K16" s="15"/>
      <c r="L16" s="15"/>
      <c r="M16" s="15"/>
      <c r="N16" s="15">
        <f>SUM(C16:M16)</f>
        <v>23725.392499999998</v>
      </c>
      <c r="O16" s="15">
        <f t="shared" si="0"/>
        <v>5646.643415</v>
      </c>
      <c r="P16" s="15">
        <f>SUM(C16:G16)*0.8*0.061</f>
        <v>1127.406514</v>
      </c>
      <c r="Q16" s="195">
        <f t="shared" si="1"/>
        <v>101.38595702417499</v>
      </c>
      <c r="R16" s="20">
        <f t="shared" si="6"/>
        <v>6875.435886024175</v>
      </c>
      <c r="S16" s="20">
        <v>0</v>
      </c>
      <c r="T16" s="15">
        <f>N16*0.085</f>
        <v>2016.6583625</v>
      </c>
      <c r="U16" s="15">
        <f t="shared" si="7"/>
        <v>32617.48674852417</v>
      </c>
      <c r="V16" s="9"/>
      <c r="W16" s="9"/>
      <c r="X16" s="9"/>
      <c r="Y16" s="104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39.75" customHeight="1">
      <c r="A17" s="12" t="s">
        <v>58</v>
      </c>
      <c r="B17" s="12" t="s">
        <v>62</v>
      </c>
      <c r="C17" s="15">
        <f>18496.61</f>
        <v>18496.61</v>
      </c>
      <c r="D17" s="83">
        <f>11.56*13</f>
        <v>150.28</v>
      </c>
      <c r="E17" s="15">
        <f>13.88*13</f>
        <v>180.44</v>
      </c>
      <c r="F17" s="15">
        <f>4.61*13</f>
        <v>59.93000000000001</v>
      </c>
      <c r="G17" s="195">
        <f t="shared" si="3"/>
        <v>1541.3841666666667</v>
      </c>
      <c r="H17" s="15">
        <f>39.31*12</f>
        <v>471.72</v>
      </c>
      <c r="I17" s="15"/>
      <c r="J17" s="15"/>
      <c r="K17" s="15"/>
      <c r="L17" s="15"/>
      <c r="M17" s="15"/>
      <c r="N17" s="15">
        <f>SUM(C17:M17)</f>
        <v>20900.364166666666</v>
      </c>
      <c r="O17" s="15">
        <f t="shared" si="0"/>
        <v>4974.286671666667</v>
      </c>
      <c r="P17" s="15">
        <f>SUM(C17:G17)*0.8*0.036</f>
        <v>588.3449519999999</v>
      </c>
      <c r="Q17" s="195">
        <f t="shared" si="1"/>
        <v>89.31373519705832</v>
      </c>
      <c r="R17" s="20">
        <f t="shared" si="6"/>
        <v>5651.945358863724</v>
      </c>
      <c r="S17" s="20">
        <v>0</v>
      </c>
      <c r="T17" s="15">
        <f>N17*0.085</f>
        <v>1776.5309541666668</v>
      </c>
      <c r="U17" s="15">
        <f t="shared" si="7"/>
        <v>28328.84047969706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27" customHeight="1">
      <c r="A18" s="19" t="s">
        <v>131</v>
      </c>
      <c r="B18" s="12" t="s">
        <v>90</v>
      </c>
      <c r="C18" s="15">
        <f>21901.32</f>
        <v>21901.32</v>
      </c>
      <c r="D18" s="141">
        <f>13.69*13</f>
        <v>177.97</v>
      </c>
      <c r="E18" s="15">
        <v>0</v>
      </c>
      <c r="F18" s="15">
        <v>0</v>
      </c>
      <c r="G18" s="195">
        <f t="shared" si="3"/>
        <v>1825.11</v>
      </c>
      <c r="H18" s="15">
        <f>45.8*12</f>
        <v>549.5999999999999</v>
      </c>
      <c r="I18" s="15"/>
      <c r="J18" s="15"/>
      <c r="K18" s="15"/>
      <c r="L18" s="15"/>
      <c r="M18" s="15"/>
      <c r="N18" s="15">
        <f>SUM(C18:M18)</f>
        <v>24454</v>
      </c>
      <c r="O18" s="15">
        <f t="shared" si="0"/>
        <v>5820.052</v>
      </c>
      <c r="P18" s="15">
        <f>SUM(C18:G18)*0.8*0.061</f>
        <v>1166.53472</v>
      </c>
      <c r="Q18" s="195">
        <f t="shared" si="1"/>
        <v>104.49952274</v>
      </c>
      <c r="R18" s="20">
        <f t="shared" si="6"/>
        <v>7091.08624274</v>
      </c>
      <c r="S18" s="20"/>
      <c r="T18" s="15">
        <f>N18*0.085</f>
        <v>2078.59</v>
      </c>
      <c r="U18" s="15">
        <f t="shared" si="7"/>
        <v>33623.676242739995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27" customHeight="1">
      <c r="A19" s="13" t="s">
        <v>61</v>
      </c>
      <c r="B19" s="14" t="s">
        <v>74</v>
      </c>
      <c r="C19" s="21">
        <f>19454.15</f>
        <v>19454.15</v>
      </c>
      <c r="D19" s="141">
        <f>12.16*13</f>
        <v>158.08</v>
      </c>
      <c r="E19" s="15">
        <v>0</v>
      </c>
      <c r="F19" s="15">
        <v>0</v>
      </c>
      <c r="G19" s="195">
        <f t="shared" si="3"/>
        <v>1621.1791666666668</v>
      </c>
      <c r="H19" s="15">
        <f>45.8*12</f>
        <v>549.5999999999999</v>
      </c>
      <c r="I19" s="21"/>
      <c r="J19" s="21"/>
      <c r="K19" s="21"/>
      <c r="L19" s="15"/>
      <c r="M19" s="15"/>
      <c r="N19" s="15">
        <f>SUM(C19:M19)</f>
        <v>21783.00916666667</v>
      </c>
      <c r="O19" s="15">
        <f t="shared" si="0"/>
        <v>5184.356181666667</v>
      </c>
      <c r="P19" s="20">
        <f>SUM(C19:G19)*0.8*0.061</f>
        <v>1036.1903673333336</v>
      </c>
      <c r="Q19" s="198">
        <f>N19*0.03434</f>
        <v>748.0285347833335</v>
      </c>
      <c r="R19" s="20">
        <f t="shared" si="6"/>
        <v>6968.575083783334</v>
      </c>
      <c r="S19" s="20">
        <v>0</v>
      </c>
      <c r="T19" s="17">
        <f>N19*0.085</f>
        <v>1851.5557791666672</v>
      </c>
      <c r="U19" s="15">
        <f t="shared" si="7"/>
        <v>30603.140029616672</v>
      </c>
      <c r="V19" s="9"/>
      <c r="W19" s="9"/>
      <c r="X19" s="9"/>
      <c r="Y19" s="9"/>
      <c r="Z19" s="104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44.25" customHeight="1">
      <c r="A20" s="45" t="s">
        <v>100</v>
      </c>
      <c r="B20" s="46"/>
      <c r="C20" s="47"/>
      <c r="D20" s="141"/>
      <c r="E20" s="48"/>
      <c r="F20" s="47"/>
      <c r="G20" s="195">
        <f t="shared" si="3"/>
        <v>0</v>
      </c>
      <c r="H20" s="48"/>
      <c r="I20" s="49"/>
      <c r="J20" s="49"/>
      <c r="K20" s="49"/>
      <c r="L20" s="48">
        <f>(9500+(9500*25%))</f>
        <v>11875</v>
      </c>
      <c r="M20" s="48"/>
      <c r="N20" s="48">
        <f>L20</f>
        <v>11875</v>
      </c>
      <c r="O20" s="48">
        <f t="shared" si="0"/>
        <v>2826.25</v>
      </c>
      <c r="P20" s="48">
        <f>9500*0.8*0.061</f>
        <v>463.59999999999997</v>
      </c>
      <c r="Q20" s="48">
        <f>L20*0.03434</f>
        <v>407.7875</v>
      </c>
      <c r="R20" s="48">
        <f t="shared" si="6"/>
        <v>3697.6375</v>
      </c>
      <c r="S20" s="20">
        <v>0</v>
      </c>
      <c r="T20" s="48">
        <f>L20*0.085</f>
        <v>1009.3750000000001</v>
      </c>
      <c r="U20" s="48">
        <f t="shared" si="7"/>
        <v>16582.0125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34.5" customHeight="1">
      <c r="A21" s="13" t="s">
        <v>52</v>
      </c>
      <c r="B21" s="14" t="s">
        <v>71</v>
      </c>
      <c r="C21" s="15">
        <f>21166.71</f>
        <v>21166.71</v>
      </c>
      <c r="D21" s="141">
        <f>13.23*13</f>
        <v>171.99</v>
      </c>
      <c r="E21" s="15">
        <v>0</v>
      </c>
      <c r="F21" s="15">
        <v>0</v>
      </c>
      <c r="G21" s="195">
        <f t="shared" si="3"/>
        <v>1763.8925</v>
      </c>
      <c r="H21" s="15">
        <f>51.9*12</f>
        <v>622.8</v>
      </c>
      <c r="I21" s="21"/>
      <c r="J21" s="21"/>
      <c r="K21" s="21"/>
      <c r="L21" s="15"/>
      <c r="M21" s="15"/>
      <c r="N21" s="15">
        <f aca="true" t="shared" si="8" ref="N21:N29">SUM(C21:M21)</f>
        <v>23725.392499999998</v>
      </c>
      <c r="O21" s="17">
        <f t="shared" si="0"/>
        <v>5646.643415</v>
      </c>
      <c r="P21" s="20">
        <f>SUM(C21:G21)*0.8*0.061</f>
        <v>1127.406514</v>
      </c>
      <c r="Q21" s="17">
        <f>N21*0.03434</f>
        <v>814.72997845</v>
      </c>
      <c r="R21" s="20">
        <f t="shared" si="6"/>
        <v>7588.77990745</v>
      </c>
      <c r="S21" s="20">
        <v>0</v>
      </c>
      <c r="T21" s="17">
        <f>N21*0.085</f>
        <v>2016.6583625</v>
      </c>
      <c r="U21" s="15">
        <f t="shared" si="7"/>
        <v>33330.83076995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30" customHeight="1">
      <c r="A22" s="14" t="s">
        <v>59</v>
      </c>
      <c r="B22" s="14" t="s">
        <v>92</v>
      </c>
      <c r="C22" s="20">
        <f>20472.62</f>
        <v>20472.62</v>
      </c>
      <c r="D22" s="137">
        <f>12.8*13</f>
        <v>166.4</v>
      </c>
      <c r="E22" s="15">
        <v>0</v>
      </c>
      <c r="F22" s="15">
        <v>0</v>
      </c>
      <c r="G22" s="195">
        <f t="shared" si="3"/>
        <v>1706.0516666666665</v>
      </c>
      <c r="H22" s="15">
        <f>45.8*12</f>
        <v>549.5999999999999</v>
      </c>
      <c r="I22" s="20"/>
      <c r="J22" s="20"/>
      <c r="K22" s="20"/>
      <c r="L22" s="15"/>
      <c r="M22" s="15"/>
      <c r="N22" s="15">
        <f t="shared" si="8"/>
        <v>22894.671666666665</v>
      </c>
      <c r="O22" s="20">
        <f t="shared" si="0"/>
        <v>5448.931856666666</v>
      </c>
      <c r="P22" s="20">
        <f>SUM(C22:G22)*0.8*0.036</f>
        <v>643.538064</v>
      </c>
      <c r="Q22" s="17">
        <f>N22*0.03434</f>
        <v>786.2030250333333</v>
      </c>
      <c r="R22" s="20">
        <f t="shared" si="6"/>
        <v>6878.6729457</v>
      </c>
      <c r="S22" s="20">
        <v>0</v>
      </c>
      <c r="T22" s="17">
        <f>N22*0.085</f>
        <v>1946.0470916666666</v>
      </c>
      <c r="U22" s="15">
        <f t="shared" si="7"/>
        <v>31719.391704033333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53.25" customHeight="1">
      <c r="A23" s="59" t="s">
        <v>0</v>
      </c>
      <c r="B23" s="65" t="s">
        <v>75</v>
      </c>
      <c r="C23" s="61">
        <f>19917.86</f>
        <v>19917.86</v>
      </c>
      <c r="D23" s="157">
        <f>12.45*13</f>
        <v>161.85</v>
      </c>
      <c r="E23" s="60">
        <v>0</v>
      </c>
      <c r="F23" s="60">
        <v>0</v>
      </c>
      <c r="G23" s="60">
        <f>C23/12</f>
        <v>1659.8216666666667</v>
      </c>
      <c r="H23" s="60">
        <f>45.8*12</f>
        <v>549.5999999999999</v>
      </c>
      <c r="I23" s="61"/>
      <c r="J23" s="61"/>
      <c r="K23" s="61"/>
      <c r="L23" s="60"/>
      <c r="M23" s="60"/>
      <c r="N23" s="60">
        <f t="shared" si="8"/>
        <v>22289.131666666664</v>
      </c>
      <c r="O23" s="61">
        <f t="shared" si="0"/>
        <v>5304.813336666666</v>
      </c>
      <c r="P23" s="61">
        <f>SUM(C23:G23)*0.8*0.061</f>
        <v>1060.8891453333333</v>
      </c>
      <c r="Q23" s="160">
        <f>N23*0.03434</f>
        <v>765.4087814333333</v>
      </c>
      <c r="R23" s="61">
        <f t="shared" si="6"/>
        <v>7131.111263433333</v>
      </c>
      <c r="S23" s="61">
        <v>0</v>
      </c>
      <c r="T23" s="160">
        <v>0</v>
      </c>
      <c r="U23" s="60">
        <f t="shared" si="7"/>
        <v>29420.242930099997</v>
      </c>
      <c r="V23" s="9"/>
      <c r="W23" s="9"/>
      <c r="X23" s="9"/>
      <c r="Y23" s="9"/>
      <c r="Z23" s="9"/>
      <c r="AA23" s="9"/>
      <c r="AB23" s="130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38.25" customHeight="1">
      <c r="A24" s="19" t="s">
        <v>24</v>
      </c>
      <c r="B24" s="12" t="s">
        <v>74</v>
      </c>
      <c r="C24" s="21">
        <f>19454.15</f>
        <v>19454.15</v>
      </c>
      <c r="D24" s="137">
        <f>12.16*13</f>
        <v>158.08</v>
      </c>
      <c r="E24" s="15">
        <v>0</v>
      </c>
      <c r="F24" s="15">
        <v>0</v>
      </c>
      <c r="G24" s="195">
        <f t="shared" si="3"/>
        <v>1621.1791666666668</v>
      </c>
      <c r="H24" s="15">
        <f>45.8*12</f>
        <v>549.5999999999999</v>
      </c>
      <c r="I24" s="23"/>
      <c r="J24" s="82"/>
      <c r="K24" s="82"/>
      <c r="L24" s="48"/>
      <c r="M24" s="27"/>
      <c r="N24" s="15">
        <f t="shared" si="8"/>
        <v>21783.00916666667</v>
      </c>
      <c r="O24" s="23">
        <f t="shared" si="0"/>
        <v>5184.356181666667</v>
      </c>
      <c r="P24" s="83">
        <f>SUM(C24:G24)*0.8*0.061</f>
        <v>1036.1903673333336</v>
      </c>
      <c r="Q24" s="195">
        <f>N24*0.00505-N24*0.00505*15.38%</f>
        <v>93.08555090200835</v>
      </c>
      <c r="R24" s="83">
        <f t="shared" si="6"/>
        <v>6313.632099902009</v>
      </c>
      <c r="S24" s="20">
        <v>0</v>
      </c>
      <c r="T24" s="23">
        <f aca="true" t="shared" si="9" ref="T24:T30">N24*0.085</f>
        <v>1851.5557791666672</v>
      </c>
      <c r="U24" s="15">
        <f t="shared" si="7"/>
        <v>29948.19704573535</v>
      </c>
      <c r="V24" s="9"/>
      <c r="W24" s="9" t="s">
        <v>126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24.75" customHeight="1">
      <c r="A25" s="14" t="s">
        <v>60</v>
      </c>
      <c r="B25" s="14" t="s">
        <v>75</v>
      </c>
      <c r="C25" s="20">
        <f>19917.86</f>
        <v>19917.86</v>
      </c>
      <c r="D25" s="144">
        <f>12.45*13</f>
        <v>161.85</v>
      </c>
      <c r="E25" s="15">
        <v>0</v>
      </c>
      <c r="F25" s="15">
        <v>0</v>
      </c>
      <c r="G25" s="195">
        <f t="shared" si="3"/>
        <v>1659.8216666666667</v>
      </c>
      <c r="H25" s="15">
        <f>45.8*12</f>
        <v>549.5999999999999</v>
      </c>
      <c r="I25" s="20"/>
      <c r="J25" s="20"/>
      <c r="K25" s="20"/>
      <c r="L25" s="15"/>
      <c r="M25" s="15"/>
      <c r="N25" s="15">
        <f t="shared" si="8"/>
        <v>22289.131666666664</v>
      </c>
      <c r="O25" s="23">
        <f t="shared" si="0"/>
        <v>5304.813336666666</v>
      </c>
      <c r="P25" s="20">
        <f>SUM(C25:G25)*0.8*0.061</f>
        <v>1060.8891453333333</v>
      </c>
      <c r="Q25" s="17">
        <f>N25*0.03434</f>
        <v>765.4087814333333</v>
      </c>
      <c r="R25" s="20">
        <f t="shared" si="6"/>
        <v>7131.111263433333</v>
      </c>
      <c r="S25" s="20">
        <v>0</v>
      </c>
      <c r="T25" s="17">
        <f t="shared" si="9"/>
        <v>1894.5761916666665</v>
      </c>
      <c r="U25" s="15">
        <f t="shared" si="7"/>
        <v>31314.819121766664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25.5" customHeight="1">
      <c r="A26" s="14" t="s">
        <v>83</v>
      </c>
      <c r="B26" s="14" t="s">
        <v>80</v>
      </c>
      <c r="C26" s="20">
        <f>17531.61</f>
        <v>17531.61</v>
      </c>
      <c r="D26" s="83">
        <f>10.96*13</f>
        <v>142.48000000000002</v>
      </c>
      <c r="E26" s="119">
        <f>183.14*13</f>
        <v>2380.8199999999997</v>
      </c>
      <c r="F26" s="15">
        <v>0</v>
      </c>
      <c r="G26" s="195">
        <f t="shared" si="3"/>
        <v>1460.9675</v>
      </c>
      <c r="H26" s="15">
        <f>39.31*12</f>
        <v>471.72</v>
      </c>
      <c r="I26" s="20">
        <v>1306.81</v>
      </c>
      <c r="J26" s="20"/>
      <c r="K26" s="20"/>
      <c r="L26" s="15"/>
      <c r="M26" s="15"/>
      <c r="N26" s="15">
        <f>SUM(C26:M26)</f>
        <v>23294.4075</v>
      </c>
      <c r="O26" s="20">
        <f t="shared" si="0"/>
        <v>5544.068985</v>
      </c>
      <c r="P26" s="20">
        <f>SUM(C26:G26)*0.8*0.036</f>
        <v>619.657272</v>
      </c>
      <c r="Q26" s="10">
        <f>N26*0.03434</f>
        <v>799.92995355</v>
      </c>
      <c r="R26" s="20">
        <f t="shared" si="6"/>
        <v>6963.656210550001</v>
      </c>
      <c r="S26" s="20">
        <v>0</v>
      </c>
      <c r="T26" s="17">
        <f t="shared" si="9"/>
        <v>1980.0246375000002</v>
      </c>
      <c r="U26" s="15">
        <f t="shared" si="7"/>
        <v>32238.08834805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28.5" customHeight="1">
      <c r="A27" s="14" t="s">
        <v>84</v>
      </c>
      <c r="B27" s="14" t="s">
        <v>62</v>
      </c>
      <c r="C27" s="15">
        <f>18496.61</f>
        <v>18496.61</v>
      </c>
      <c r="D27" s="83">
        <f>11.56*13</f>
        <v>150.28</v>
      </c>
      <c r="E27" s="15">
        <v>0</v>
      </c>
      <c r="F27" s="20">
        <f>4.61*13</f>
        <v>59.93000000000001</v>
      </c>
      <c r="G27" s="195">
        <f t="shared" si="3"/>
        <v>1541.3841666666667</v>
      </c>
      <c r="H27" s="15">
        <f>39.31*12</f>
        <v>471.72</v>
      </c>
      <c r="I27" s="20"/>
      <c r="J27" s="20"/>
      <c r="K27" s="20"/>
      <c r="L27" s="15"/>
      <c r="M27" s="15"/>
      <c r="N27" s="15">
        <f t="shared" si="8"/>
        <v>20719.924166666668</v>
      </c>
      <c r="O27" s="20">
        <f t="shared" si="0"/>
        <v>4931.341951666666</v>
      </c>
      <c r="P27" s="20">
        <f>SUM(C27:G27)*0.8*0.061</f>
        <v>988.1123633333333</v>
      </c>
      <c r="Q27" s="10">
        <f>N27*0.03434</f>
        <v>711.5221958833334</v>
      </c>
      <c r="R27" s="20">
        <f t="shared" si="6"/>
        <v>6630.9765108833335</v>
      </c>
      <c r="S27" s="20">
        <v>0</v>
      </c>
      <c r="T27" s="17">
        <f t="shared" si="9"/>
        <v>1761.193554166667</v>
      </c>
      <c r="U27" s="15">
        <f t="shared" si="7"/>
        <v>29112.09423171667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22.5" customHeight="1">
      <c r="A28" s="14" t="s">
        <v>85</v>
      </c>
      <c r="B28" s="14" t="s">
        <v>63</v>
      </c>
      <c r="C28" s="20">
        <f>16533.95</f>
        <v>16533.95</v>
      </c>
      <c r="D28" s="137">
        <f>10.33*13</f>
        <v>134.29</v>
      </c>
      <c r="E28" s="15">
        <v>0</v>
      </c>
      <c r="F28" s="15">
        <v>0</v>
      </c>
      <c r="G28" s="195">
        <f t="shared" si="3"/>
        <v>1377.8291666666667</v>
      </c>
      <c r="H28" s="20">
        <f>32.4*12</f>
        <v>388.79999999999995</v>
      </c>
      <c r="I28" s="20"/>
      <c r="J28" s="20"/>
      <c r="K28" s="20"/>
      <c r="L28" s="15"/>
      <c r="M28" s="15"/>
      <c r="N28" s="15">
        <f t="shared" si="8"/>
        <v>18434.869166666667</v>
      </c>
      <c r="O28" s="20">
        <f t="shared" si="0"/>
        <v>4387.498861666667</v>
      </c>
      <c r="P28" s="20">
        <f>SUM(C28:G28)*0.8*0.061</f>
        <v>880.6481753333334</v>
      </c>
      <c r="Q28" s="10">
        <f>N28*0.03434</f>
        <v>633.0534071833334</v>
      </c>
      <c r="R28" s="20">
        <f t="shared" si="6"/>
        <v>5901.200444183334</v>
      </c>
      <c r="S28" s="20">
        <v>0</v>
      </c>
      <c r="T28" s="17">
        <f t="shared" si="9"/>
        <v>1566.9638791666669</v>
      </c>
      <c r="U28" s="15">
        <f t="shared" si="7"/>
        <v>25903.033490016667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28.5" customHeight="1">
      <c r="A29" s="12" t="s">
        <v>53</v>
      </c>
      <c r="B29" s="12" t="s">
        <v>62</v>
      </c>
      <c r="C29" s="15">
        <f>18496.61</f>
        <v>18496.61</v>
      </c>
      <c r="D29" s="119">
        <f>11.56*13</f>
        <v>150.28</v>
      </c>
      <c r="E29" s="23">
        <f>19.72*13</f>
        <v>256.36</v>
      </c>
      <c r="F29" s="23">
        <f>4.61*13</f>
        <v>59.93000000000001</v>
      </c>
      <c r="G29" s="195">
        <f t="shared" si="3"/>
        <v>1541.3841666666667</v>
      </c>
      <c r="H29" s="15">
        <f>39.31*12</f>
        <v>471.72</v>
      </c>
      <c r="I29" s="23"/>
      <c r="J29" s="23"/>
      <c r="K29" s="23"/>
      <c r="L29" s="15"/>
      <c r="M29" s="15"/>
      <c r="N29" s="15">
        <f t="shared" si="8"/>
        <v>20976.284166666668</v>
      </c>
      <c r="O29" s="23">
        <f t="shared" si="0"/>
        <v>4992.355631666667</v>
      </c>
      <c r="P29" s="20">
        <f>SUM(C29:G29)*0.8*0.036</f>
        <v>590.5314480000001</v>
      </c>
      <c r="Q29" s="10">
        <f>N29*0.03434</f>
        <v>720.3255982833334</v>
      </c>
      <c r="R29" s="20">
        <f t="shared" si="6"/>
        <v>6303.21267795</v>
      </c>
      <c r="S29" s="20">
        <v>0</v>
      </c>
      <c r="T29" s="23">
        <f t="shared" si="9"/>
        <v>1782.984154166667</v>
      </c>
      <c r="U29" s="15">
        <f t="shared" si="7"/>
        <v>29062.480998783336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43.5" customHeight="1">
      <c r="A30" s="59" t="s">
        <v>124</v>
      </c>
      <c r="B30" s="65" t="s">
        <v>79</v>
      </c>
      <c r="C30" s="62">
        <f>22203.89</f>
        <v>22203.89</v>
      </c>
      <c r="D30" s="62">
        <f>13.88*13</f>
        <v>180.44</v>
      </c>
      <c r="E30" s="60">
        <v>0</v>
      </c>
      <c r="F30" s="60">
        <v>0</v>
      </c>
      <c r="G30" s="60">
        <f>C30/12</f>
        <v>1850.3241666666665</v>
      </c>
      <c r="H30" s="60">
        <f>51.9*12</f>
        <v>622.8</v>
      </c>
      <c r="I30" s="51">
        <f>(92.57*12)</f>
        <v>1110.84</v>
      </c>
      <c r="J30" s="62"/>
      <c r="K30" s="62"/>
      <c r="L30" s="62"/>
      <c r="M30" s="63"/>
      <c r="N30" s="63">
        <f>SUM(C30:M30)</f>
        <v>25968.294166666663</v>
      </c>
      <c r="O30" s="62">
        <f t="shared" si="0"/>
        <v>6180.454011666666</v>
      </c>
      <c r="P30" s="61">
        <f>(C30+D30+E30+F30+G30+I30)*0.8*0.061</f>
        <v>1236.8601153333334</v>
      </c>
      <c r="Q30" s="64">
        <f>N30*0.0101-N30*0.0101*15.38%</f>
        <v>221.9411422907166</v>
      </c>
      <c r="R30" s="61">
        <f t="shared" si="6"/>
        <v>7639.255269290717</v>
      </c>
      <c r="S30" s="61">
        <v>0</v>
      </c>
      <c r="T30" s="62">
        <f t="shared" si="9"/>
        <v>2207.3050041666665</v>
      </c>
      <c r="U30" s="60">
        <f t="shared" si="7"/>
        <v>35814.85444012404</v>
      </c>
      <c r="V30" s="78">
        <f>+U30*30.56%</f>
        <v>10945.019516901906</v>
      </c>
      <c r="W30" s="122">
        <f>+V30/2</f>
        <v>5472.509758450953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ht="42.75" customHeight="1">
      <c r="A31" s="77" t="s">
        <v>98</v>
      </c>
      <c r="B31" s="79" t="s">
        <v>79</v>
      </c>
      <c r="C31" s="80"/>
      <c r="D31" s="80"/>
      <c r="E31" s="76"/>
      <c r="F31" s="80"/>
      <c r="G31" s="76"/>
      <c r="H31" s="76"/>
      <c r="I31" s="75"/>
      <c r="J31" s="75"/>
      <c r="K31" s="75"/>
      <c r="L31" s="76"/>
      <c r="M31" s="76"/>
      <c r="N31" s="76"/>
      <c r="O31" s="76"/>
      <c r="P31" s="76"/>
      <c r="Q31" s="76"/>
      <c r="R31" s="76"/>
      <c r="S31" s="61">
        <v>0</v>
      </c>
      <c r="T31" s="76"/>
      <c r="U31" s="76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ht="42.75" customHeight="1">
      <c r="A32" s="59" t="s">
        <v>43</v>
      </c>
      <c r="B32" s="65" t="s">
        <v>74</v>
      </c>
      <c r="C32" s="62">
        <f>19454.15/36*18</f>
        <v>9727.075</v>
      </c>
      <c r="D32" s="62">
        <f>(12.16/36*18)*13</f>
        <v>79.04</v>
      </c>
      <c r="E32" s="60">
        <v>0</v>
      </c>
      <c r="F32" s="60">
        <v>0</v>
      </c>
      <c r="G32" s="60">
        <f>C32/12</f>
        <v>810.5895833333334</v>
      </c>
      <c r="H32" s="60">
        <f>(45.8*12)/36*18</f>
        <v>274.79999999999995</v>
      </c>
      <c r="I32" s="51">
        <f>(65.02*12)/36*18</f>
        <v>390.12</v>
      </c>
      <c r="J32" s="62"/>
      <c r="K32" s="62"/>
      <c r="L32" s="62"/>
      <c r="M32" s="63"/>
      <c r="N32" s="63">
        <f>SUM(C32:M32)</f>
        <v>11281.624583333336</v>
      </c>
      <c r="O32" s="63">
        <f>N32*0.238</f>
        <v>2685.026650833334</v>
      </c>
      <c r="P32" s="62">
        <f>(C32+D32+E32+F32+G32+I32)*0.8*0.061</f>
        <v>537.1330396666668</v>
      </c>
      <c r="Q32" s="62">
        <f>N32*0.0101-N32*0.0101*15.38%</f>
        <v>96.41975829640835</v>
      </c>
      <c r="R32" s="60">
        <f>O32+P32+Q32</f>
        <v>3318.579448796409</v>
      </c>
      <c r="S32" s="60">
        <v>0</v>
      </c>
      <c r="T32" s="60">
        <f>N32*0.085</f>
        <v>958.9380895833336</v>
      </c>
      <c r="U32" s="60">
        <f>N32+R32+S32+T32</f>
        <v>15559.142121713077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ht="46.5" customHeight="1">
      <c r="A33" s="22" t="s">
        <v>129</v>
      </c>
      <c r="B33" s="18" t="s">
        <v>74</v>
      </c>
      <c r="C33" s="121"/>
      <c r="D33" s="121"/>
      <c r="E33" s="16"/>
      <c r="F33" s="16"/>
      <c r="G33" s="28"/>
      <c r="H33" s="25"/>
      <c r="I33" s="25"/>
      <c r="J33" s="25"/>
      <c r="K33" s="25"/>
      <c r="L33" s="36"/>
      <c r="M33" s="36"/>
      <c r="N33" s="25"/>
      <c r="O33" s="25"/>
      <c r="P33" s="26"/>
      <c r="Q33" s="11"/>
      <c r="R33" s="26"/>
      <c r="S33" s="26">
        <v>0</v>
      </c>
      <c r="T33" s="25"/>
      <c r="U33" s="1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33.75" customHeight="1">
      <c r="A34" s="22" t="s">
        <v>5</v>
      </c>
      <c r="B34" s="18" t="s">
        <v>71</v>
      </c>
      <c r="C34" s="25"/>
      <c r="D34" s="25"/>
      <c r="E34" s="106"/>
      <c r="F34" s="106"/>
      <c r="G34" s="28"/>
      <c r="H34" s="25"/>
      <c r="I34" s="106"/>
      <c r="J34" s="106"/>
      <c r="K34" s="106"/>
      <c r="L34" s="106"/>
      <c r="M34" s="106"/>
      <c r="N34" s="25"/>
      <c r="O34" s="25"/>
      <c r="P34" s="26"/>
      <c r="Q34" s="11"/>
      <c r="R34" s="26"/>
      <c r="S34" s="26">
        <v>0</v>
      </c>
      <c r="T34" s="25"/>
      <c r="U34" s="1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48" customHeight="1">
      <c r="A35" s="22" t="s">
        <v>6</v>
      </c>
      <c r="B35" s="18" t="s">
        <v>74</v>
      </c>
      <c r="C35" s="121"/>
      <c r="D35" s="121"/>
      <c r="E35" s="16"/>
      <c r="F35" s="16"/>
      <c r="G35" s="28"/>
      <c r="H35" s="16"/>
      <c r="I35" s="25"/>
      <c r="J35" s="135"/>
      <c r="K35" s="135"/>
      <c r="L35" s="136"/>
      <c r="M35" s="36"/>
      <c r="N35" s="16"/>
      <c r="O35" s="25"/>
      <c r="P35" s="26"/>
      <c r="Q35" s="11"/>
      <c r="R35" s="26"/>
      <c r="S35" s="26">
        <v>0</v>
      </c>
      <c r="T35" s="25"/>
      <c r="U35" s="16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33.75" customHeight="1">
      <c r="A36" s="19" t="s">
        <v>66</v>
      </c>
      <c r="B36" s="12" t="s">
        <v>55</v>
      </c>
      <c r="C36" s="23">
        <f>24338.14</f>
        <v>24338.14</v>
      </c>
      <c r="D36" s="83">
        <f>15.21*13</f>
        <v>197.73000000000002</v>
      </c>
      <c r="E36" s="35">
        <v>0</v>
      </c>
      <c r="F36" s="23">
        <f>2.31*13</f>
        <v>30.03</v>
      </c>
      <c r="G36" s="195">
        <f>C36/12</f>
        <v>2028.1783333333333</v>
      </c>
      <c r="H36" s="15">
        <f>51.9*12</f>
        <v>622.8</v>
      </c>
      <c r="I36" s="23"/>
      <c r="J36" s="23"/>
      <c r="K36" s="23"/>
      <c r="L36" s="23"/>
      <c r="M36" s="35"/>
      <c r="N36" s="23">
        <f>SUM(C36:M36)</f>
        <v>27216.87833333333</v>
      </c>
      <c r="O36" s="23">
        <f>N36*0.238</f>
        <v>6477.617043333333</v>
      </c>
      <c r="P36" s="20">
        <f>SUM(C36:G36)*0.8*0.036</f>
        <v>765.9094559999999</v>
      </c>
      <c r="Q36" s="195">
        <f>N36*0.00505-N36*0.00505*15.38%</f>
        <v>116.30615835061664</v>
      </c>
      <c r="R36" s="20">
        <f>O36+P36+Q36</f>
        <v>7359.83265768395</v>
      </c>
      <c r="S36" s="20">
        <v>0</v>
      </c>
      <c r="T36" s="23">
        <f>N36*0.085</f>
        <v>2313.434658333333</v>
      </c>
      <c r="U36" s="15">
        <f>N36+R36+T36</f>
        <v>36890.14564935061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2" customHeight="1">
      <c r="A37" s="45" t="s">
        <v>87</v>
      </c>
      <c r="B37" s="46" t="s">
        <v>55</v>
      </c>
      <c r="C37" s="47"/>
      <c r="D37" s="23"/>
      <c r="E37" s="48"/>
      <c r="F37" s="47"/>
      <c r="G37" s="113"/>
      <c r="H37" s="48"/>
      <c r="I37" s="49"/>
      <c r="J37" s="49"/>
      <c r="K37" s="49"/>
      <c r="L37" s="48">
        <f>(6400+(6400*25%))</f>
        <v>8000</v>
      </c>
      <c r="M37" s="48"/>
      <c r="N37" s="48">
        <f>L37</f>
        <v>8000</v>
      </c>
      <c r="O37" s="48">
        <f>N37*0.238</f>
        <v>1904</v>
      </c>
      <c r="P37" s="48">
        <f>6400*0.8*0.036</f>
        <v>184.32</v>
      </c>
      <c r="Q37" s="48">
        <f>N37*0.00505-N37*0.00505*15.38%</f>
        <v>34.186479999999996</v>
      </c>
      <c r="R37" s="48">
        <f>O37+P37+Q37</f>
        <v>2122.50648</v>
      </c>
      <c r="S37" s="20">
        <v>0</v>
      </c>
      <c r="T37" s="48">
        <f>L37*0.085</f>
        <v>680</v>
      </c>
      <c r="U37" s="48">
        <f>N37+R37+T37</f>
        <v>10802.50648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54" customHeight="1">
      <c r="A38" s="19" t="s">
        <v>1</v>
      </c>
      <c r="B38" s="19" t="s">
        <v>71</v>
      </c>
      <c r="C38" s="23">
        <f>21166.71</f>
        <v>21166.71</v>
      </c>
      <c r="D38" s="83">
        <f>13.23*13</f>
        <v>171.99</v>
      </c>
      <c r="E38" s="27">
        <v>0</v>
      </c>
      <c r="F38" s="27">
        <v>0</v>
      </c>
      <c r="G38" s="195">
        <f>C38/12</f>
        <v>1763.8925</v>
      </c>
      <c r="H38" s="15">
        <f>51.9*12</f>
        <v>622.8</v>
      </c>
      <c r="I38" s="23"/>
      <c r="J38" s="23"/>
      <c r="K38" s="23"/>
      <c r="L38" s="27"/>
      <c r="M38" s="27"/>
      <c r="N38" s="23">
        <f>SUM(C38:M38)</f>
        <v>23725.392499999998</v>
      </c>
      <c r="O38" s="23">
        <f>N38*0.238</f>
        <v>5646.643415</v>
      </c>
      <c r="P38" s="83">
        <f>SUM(C38:G38)*0.8*0.061</f>
        <v>1127.406514</v>
      </c>
      <c r="Q38" s="195">
        <f>N38*0.00505-N38*0.00505*15.38%</f>
        <v>101.38595702417499</v>
      </c>
      <c r="R38" s="83">
        <f>O38+P38+Q38</f>
        <v>6875.435886024175</v>
      </c>
      <c r="S38" s="20">
        <v>0</v>
      </c>
      <c r="T38" s="23">
        <f>N38*0.085</f>
        <v>2016.6583625</v>
      </c>
      <c r="U38" s="15">
        <f>N38+R38+T38</f>
        <v>32617.48674852417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</row>
    <row r="39" spans="1:38" ht="54.75" customHeight="1">
      <c r="A39" s="19" t="s">
        <v>35</v>
      </c>
      <c r="B39" s="12"/>
      <c r="C39" s="27"/>
      <c r="D39" s="150"/>
      <c r="E39" s="27"/>
      <c r="F39" s="27"/>
      <c r="G39" s="27"/>
      <c r="H39" s="27"/>
      <c r="I39" s="27"/>
      <c r="J39" s="27"/>
      <c r="K39" s="27"/>
      <c r="L39" s="27"/>
      <c r="M39" s="27"/>
      <c r="N39" s="114">
        <v>36727.91</v>
      </c>
      <c r="O39" s="23">
        <f>N39*0.238</f>
        <v>8741.24258</v>
      </c>
      <c r="P39" s="124"/>
      <c r="Q39" s="199">
        <f>N39*0.0101</f>
        <v>370.95189100000005</v>
      </c>
      <c r="R39" s="83">
        <f>O39+P39+Q39</f>
        <v>9112.194471</v>
      </c>
      <c r="S39" s="20">
        <v>0</v>
      </c>
      <c r="T39" s="23">
        <f>N39*0.085</f>
        <v>3121.8723500000006</v>
      </c>
      <c r="U39" s="15">
        <f>N39+R39+T39</f>
        <v>48961.976821000004</v>
      </c>
      <c r="V39" s="9" t="s">
        <v>134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27.75" customHeight="1">
      <c r="A40" s="125" t="s">
        <v>64</v>
      </c>
      <c r="B40" s="126"/>
      <c r="C40" s="127">
        <f>SUM(C4:C39)</f>
        <v>484094.3427777778</v>
      </c>
      <c r="D40" s="127">
        <f aca="true" t="shared" si="10" ref="D40:U40">SUM(D4:D39)</f>
        <v>3888.3</v>
      </c>
      <c r="E40" s="127">
        <f t="shared" si="10"/>
        <v>2998.8399999999997</v>
      </c>
      <c r="F40" s="127">
        <f t="shared" si="10"/>
        <v>269.75</v>
      </c>
      <c r="G40" s="32">
        <f t="shared" si="10"/>
        <v>40341.195231481484</v>
      </c>
      <c r="H40" s="127">
        <f t="shared" si="10"/>
        <v>12108.37333333333</v>
      </c>
      <c r="I40" s="127">
        <f t="shared" si="10"/>
        <v>2807.7699999999995</v>
      </c>
      <c r="J40" s="127">
        <f t="shared" si="10"/>
        <v>12832.421875</v>
      </c>
      <c r="K40" s="127">
        <f t="shared" si="10"/>
        <v>0</v>
      </c>
      <c r="L40" s="127">
        <f t="shared" si="10"/>
        <v>43712.57</v>
      </c>
      <c r="M40" s="74">
        <f t="shared" si="10"/>
        <v>4509.693256250001</v>
      </c>
      <c r="N40" s="127">
        <f>SUM(N4:N39)</f>
        <v>657176.0043488425</v>
      </c>
      <c r="O40" s="127">
        <f>SUM(O4:O39)</f>
        <v>156407.8890350245</v>
      </c>
      <c r="P40" s="128">
        <f t="shared" si="10"/>
        <v>23940.209717518523</v>
      </c>
      <c r="Q40" s="129">
        <f t="shared" si="10"/>
        <v>9094.207595515803</v>
      </c>
      <c r="R40" s="128">
        <f t="shared" si="10"/>
        <v>189442.30634805886</v>
      </c>
      <c r="S40" s="128">
        <f t="shared" si="10"/>
        <v>0</v>
      </c>
      <c r="T40" s="127">
        <f>SUM(T4:T39)</f>
        <v>53965.384177984946</v>
      </c>
      <c r="U40" s="140">
        <f t="shared" si="10"/>
        <v>900583.6948748863</v>
      </c>
      <c r="V40" s="9"/>
      <c r="W40" s="123">
        <f>+N40+O40+P40+Q40+T40</f>
        <v>900583.6948748863</v>
      </c>
      <c r="X40" s="123"/>
      <c r="Y40" s="123"/>
      <c r="Z40" s="12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9.5" customHeight="1">
      <c r="A41" s="19" t="s">
        <v>88</v>
      </c>
      <c r="B41" s="58"/>
      <c r="C41" s="66"/>
      <c r="D41" s="66"/>
      <c r="E41" s="66"/>
      <c r="F41" s="66"/>
      <c r="G41" s="115"/>
      <c r="H41" s="66"/>
      <c r="I41" s="66"/>
      <c r="J41" s="66"/>
      <c r="K41" s="66"/>
      <c r="L41" s="66"/>
      <c r="N41" s="67"/>
      <c r="O41" s="66"/>
      <c r="P41" s="68"/>
      <c r="Q41" s="69"/>
      <c r="R41" s="68"/>
      <c r="S41" s="68"/>
      <c r="T41" s="66"/>
      <c r="U41" s="7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4.75" customHeight="1">
      <c r="A42" s="19" t="s">
        <v>8</v>
      </c>
      <c r="B42" s="110"/>
      <c r="C42" s="27"/>
      <c r="D42" s="27"/>
      <c r="E42" s="27"/>
      <c r="F42" s="27"/>
      <c r="G42" s="114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11"/>
      <c r="W42" s="9"/>
      <c r="X42" s="9"/>
      <c r="Y42" s="123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42.75" customHeight="1">
      <c r="A43" s="181" t="s">
        <v>25</v>
      </c>
      <c r="B43" s="182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>
        <v>10574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42.75" customHeight="1">
      <c r="A44" s="181" t="s">
        <v>137</v>
      </c>
      <c r="B44" s="182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>
        <f>6292.8+3210</f>
        <v>9502.8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2.75" customHeight="1">
      <c r="A45" s="181" t="s">
        <v>139</v>
      </c>
      <c r="B45" s="182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>
        <v>40000</v>
      </c>
      <c r="O45" s="180"/>
      <c r="P45" s="180"/>
      <c r="Q45" s="180"/>
      <c r="R45" s="180"/>
      <c r="S45" s="180"/>
      <c r="T45" s="180"/>
      <c r="U45" s="180">
        <f>+N45</f>
        <v>40000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42.75" customHeight="1">
      <c r="A46" s="181" t="s">
        <v>18</v>
      </c>
      <c r="B46" s="182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>
        <v>10000</v>
      </c>
      <c r="O46" s="180"/>
      <c r="P46" s="180"/>
      <c r="Q46" s="180"/>
      <c r="R46" s="180"/>
      <c r="S46" s="180"/>
      <c r="T46" s="180"/>
      <c r="U46" s="180">
        <f>+N46</f>
        <v>10000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42.75" customHeight="1">
      <c r="A47" s="181" t="s">
        <v>19</v>
      </c>
      <c r="B47" s="182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>
        <v>2000</v>
      </c>
      <c r="O47" s="180"/>
      <c r="P47" s="180"/>
      <c r="Q47" s="180"/>
      <c r="R47" s="180"/>
      <c r="S47" s="180"/>
      <c r="T47" s="180"/>
      <c r="U47" s="180">
        <f>+N47</f>
        <v>2000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29.25" customHeight="1">
      <c r="A48" s="181" t="s">
        <v>140</v>
      </c>
      <c r="B48" s="182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>
        <v>3000</v>
      </c>
      <c r="U48" s="180">
        <f>+T48</f>
        <v>3000</v>
      </c>
      <c r="V48" s="9" t="s">
        <v>7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4.25" customHeight="1">
      <c r="A49" s="19" t="s">
        <v>20</v>
      </c>
      <c r="B49" s="52"/>
      <c r="C49" s="27"/>
      <c r="D49" s="27"/>
      <c r="E49" s="27"/>
      <c r="F49" s="27"/>
      <c r="G49" s="114"/>
      <c r="H49" s="27"/>
      <c r="I49" s="27"/>
      <c r="J49" s="27"/>
      <c r="K49" s="27"/>
      <c r="L49" s="27"/>
      <c r="M49" s="27"/>
      <c r="N49" s="27">
        <v>1700</v>
      </c>
      <c r="O49" s="27"/>
      <c r="P49" s="27"/>
      <c r="Q49" s="27"/>
      <c r="R49" s="27"/>
      <c r="S49" s="27"/>
      <c r="T49" s="27">
        <v>20</v>
      </c>
      <c r="U49" s="27">
        <f>+N49+T49</f>
        <v>1720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27.75" customHeight="1">
      <c r="A50" s="19" t="s">
        <v>89</v>
      </c>
      <c r="B50" s="52"/>
      <c r="C50" s="27"/>
      <c r="D50" s="27"/>
      <c r="E50" s="27"/>
      <c r="F50" s="27"/>
      <c r="G50" s="114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66">
        <v>10000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28.5" customHeight="1">
      <c r="A51" s="125" t="s">
        <v>96</v>
      </c>
      <c r="B51" s="161"/>
      <c r="C51" s="162"/>
      <c r="D51" s="74"/>
      <c r="E51" s="162"/>
      <c r="F51" s="162"/>
      <c r="G51" s="162"/>
      <c r="H51" s="162"/>
      <c r="I51" s="162"/>
      <c r="J51" s="162"/>
      <c r="K51" s="162"/>
      <c r="L51" s="162"/>
      <c r="M51" s="162"/>
      <c r="N51" s="162">
        <f>+N43+N44+N45+N46+N47+N48+N49+N50</f>
        <v>53700</v>
      </c>
      <c r="O51" s="162"/>
      <c r="P51" s="162"/>
      <c r="Q51" s="162"/>
      <c r="R51" s="162">
        <f>SUM(R42:R50)</f>
        <v>0</v>
      </c>
      <c r="S51" s="162"/>
      <c r="T51" s="162">
        <f>+T43+T44+T45+T46+T47+T48+T49+T50</f>
        <v>3020</v>
      </c>
      <c r="U51" s="73">
        <f>+U40+U43+U44+U45+U46+U47+U48+U49+U50</f>
        <v>987380.4948748864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2.75" hidden="1">
      <c r="A52" s="19"/>
      <c r="B52" s="70"/>
      <c r="C52" s="71"/>
      <c r="D52" s="71"/>
      <c r="E52" s="71"/>
      <c r="F52" s="71"/>
      <c r="G52" s="116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220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2"/>
    </row>
    <row r="53" spans="1:38" ht="27.75" customHeight="1">
      <c r="A53" s="13" t="s">
        <v>11</v>
      </c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54" customHeight="1">
      <c r="A54" s="22" t="s">
        <v>21</v>
      </c>
      <c r="B54" s="18" t="s">
        <v>81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16"/>
      <c r="N54" s="28"/>
      <c r="O54" s="28"/>
      <c r="P54" s="28"/>
      <c r="Q54" s="28"/>
      <c r="R54" s="28"/>
      <c r="S54" s="28"/>
      <c r="T54" s="28"/>
      <c r="U54" s="28"/>
      <c r="V54" s="193">
        <f>+U4/2</f>
        <v>34870.875653250005</v>
      </c>
      <c r="W54" s="104">
        <f>+U54+U55</f>
        <v>0</v>
      </c>
      <c r="X54" s="109">
        <f>+U54+U55</f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38.25" customHeight="1">
      <c r="A55" s="22" t="s">
        <v>22</v>
      </c>
      <c r="B55" s="18" t="s">
        <v>81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16"/>
      <c r="N55" s="29"/>
      <c r="O55" s="28"/>
      <c r="P55" s="28"/>
      <c r="Q55" s="28"/>
      <c r="R55" s="28"/>
      <c r="S55" s="28"/>
      <c r="T55" s="28"/>
      <c r="U55" s="28"/>
      <c r="V55" s="194"/>
      <c r="W55" s="104"/>
      <c r="X55" s="10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48" customHeight="1">
      <c r="A56" s="59" t="s">
        <v>0</v>
      </c>
      <c r="B56" s="65" t="s">
        <v>75</v>
      </c>
      <c r="C56" s="61">
        <f>19917.86</f>
        <v>19917.86</v>
      </c>
      <c r="D56" s="157">
        <f>12.45*12</f>
        <v>149.39999999999998</v>
      </c>
      <c r="E56" s="60">
        <v>0</v>
      </c>
      <c r="F56" s="60">
        <v>0</v>
      </c>
      <c r="G56" s="60">
        <f>(C56+D56+E56+F56)/12</f>
        <v>1672.2716666666668</v>
      </c>
      <c r="H56" s="60">
        <f>45.8*12</f>
        <v>549.5999999999999</v>
      </c>
      <c r="I56" s="61"/>
      <c r="J56" s="61"/>
      <c r="K56" s="61"/>
      <c r="L56" s="60"/>
      <c r="M56" s="60"/>
      <c r="N56" s="60">
        <f>SUM(C56:M56)</f>
        <v>22289.131666666668</v>
      </c>
      <c r="O56" s="61">
        <f>N56*0.238</f>
        <v>5304.813336666667</v>
      </c>
      <c r="P56" s="61">
        <f>SUM(C56:G56)*0.8*0.061</f>
        <v>1060.8891453333335</v>
      </c>
      <c r="Q56" s="160">
        <f>N56*0.03434</f>
        <v>765.4087814333334</v>
      </c>
      <c r="R56" s="61">
        <f>O56+P56+Q56</f>
        <v>7131.111263433334</v>
      </c>
      <c r="S56" s="61">
        <v>0</v>
      </c>
      <c r="T56" s="160">
        <v>0</v>
      </c>
      <c r="U56" s="60">
        <f>N56+R56+T56</f>
        <v>29420.2429301</v>
      </c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</row>
    <row r="57" spans="1:38" ht="53.25" customHeight="1">
      <c r="A57" s="59" t="s">
        <v>34</v>
      </c>
      <c r="B57" s="59" t="s">
        <v>79</v>
      </c>
      <c r="C57" s="60"/>
      <c r="D57" s="60"/>
      <c r="E57" s="60"/>
      <c r="F57" s="60"/>
      <c r="G57" s="60"/>
      <c r="H57" s="60"/>
      <c r="I57" s="51"/>
      <c r="J57" s="62"/>
      <c r="K57" s="62"/>
      <c r="L57" s="62"/>
      <c r="M57" s="63"/>
      <c r="N57" s="62"/>
      <c r="O57" s="62"/>
      <c r="P57" s="61"/>
      <c r="Q57" s="64"/>
      <c r="R57" s="61"/>
      <c r="S57" s="61"/>
      <c r="T57" s="62"/>
      <c r="U57" s="60"/>
      <c r="V57" s="139"/>
      <c r="W57" s="139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</row>
    <row r="58" spans="1:38" ht="56.25" customHeight="1">
      <c r="A58" s="77" t="s">
        <v>99</v>
      </c>
      <c r="B58" s="77" t="s">
        <v>79</v>
      </c>
      <c r="C58" s="77"/>
      <c r="D58" s="77"/>
      <c r="E58" s="76"/>
      <c r="F58" s="76"/>
      <c r="G58" s="76"/>
      <c r="H58" s="76"/>
      <c r="I58" s="60"/>
      <c r="J58" s="60"/>
      <c r="K58" s="60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8"/>
      <c r="W58" s="179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</row>
    <row r="59" spans="1:38" ht="32.25" customHeight="1">
      <c r="A59" s="181" t="s">
        <v>138</v>
      </c>
      <c r="B59" s="183"/>
      <c r="C59" s="183"/>
      <c r="D59" s="183"/>
      <c r="E59" s="184"/>
      <c r="F59" s="184"/>
      <c r="G59" s="184"/>
      <c r="H59" s="184"/>
      <c r="I59" s="185"/>
      <c r="J59" s="185"/>
      <c r="K59" s="185"/>
      <c r="L59" s="184"/>
      <c r="M59" s="184"/>
      <c r="N59" s="180">
        <f>+U44</f>
        <v>9502.8</v>
      </c>
      <c r="O59" s="184"/>
      <c r="P59" s="184"/>
      <c r="Q59" s="184"/>
      <c r="R59" s="184"/>
      <c r="S59" s="184"/>
      <c r="T59" s="184"/>
      <c r="U59" s="185">
        <f>+N59</f>
        <v>9502.8</v>
      </c>
      <c r="V59" s="78"/>
      <c r="W59" s="179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</row>
    <row r="60" spans="1:38" ht="56.25" customHeight="1">
      <c r="A60" s="181" t="s">
        <v>139</v>
      </c>
      <c r="B60" s="183"/>
      <c r="C60" s="183"/>
      <c r="D60" s="183"/>
      <c r="E60" s="184"/>
      <c r="F60" s="184"/>
      <c r="G60" s="184"/>
      <c r="H60" s="184"/>
      <c r="I60" s="185"/>
      <c r="J60" s="185"/>
      <c r="K60" s="185"/>
      <c r="L60" s="184"/>
      <c r="M60" s="184"/>
      <c r="N60" s="180">
        <v>40000</v>
      </c>
      <c r="O60" s="180"/>
      <c r="P60" s="180"/>
      <c r="Q60" s="180"/>
      <c r="R60" s="180"/>
      <c r="S60" s="180"/>
      <c r="T60" s="180"/>
      <c r="U60" s="180">
        <f>+N60</f>
        <v>40000</v>
      </c>
      <c r="V60" s="78"/>
      <c r="W60" s="179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</row>
    <row r="61" spans="1:38" ht="31.5" customHeight="1">
      <c r="A61" s="181" t="s">
        <v>118</v>
      </c>
      <c r="B61" s="183"/>
      <c r="C61" s="183"/>
      <c r="D61" s="183"/>
      <c r="E61" s="184"/>
      <c r="F61" s="184"/>
      <c r="G61" s="184"/>
      <c r="H61" s="184"/>
      <c r="I61" s="185"/>
      <c r="J61" s="185"/>
      <c r="K61" s="185"/>
      <c r="L61" s="184"/>
      <c r="M61" s="184"/>
      <c r="N61" s="187">
        <f>N6</f>
        <v>12884.837875000001</v>
      </c>
      <c r="O61" s="188">
        <f>+N61*23.8%</f>
        <v>3066.5914142500005</v>
      </c>
      <c r="P61" s="188">
        <v>0</v>
      </c>
      <c r="Q61" s="188">
        <v>0</v>
      </c>
      <c r="R61" s="188">
        <f>+O61+P61+Q61</f>
        <v>3066.5914142500005</v>
      </c>
      <c r="S61" s="189"/>
      <c r="T61" s="188">
        <f>N61*0.085</f>
        <v>1095.2112193750002</v>
      </c>
      <c r="U61" s="188">
        <f>+N61+R61+T61</f>
        <v>17046.640508625</v>
      </c>
      <c r="V61" s="78"/>
      <c r="W61" s="179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spans="1:38" ht="34.5" customHeight="1">
      <c r="A62" s="181" t="s">
        <v>140</v>
      </c>
      <c r="B62" s="182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>
        <v>3000</v>
      </c>
      <c r="O62" s="180"/>
      <c r="P62" s="180"/>
      <c r="Q62" s="180"/>
      <c r="R62" s="180"/>
      <c r="S62" s="180"/>
      <c r="T62" s="180"/>
      <c r="U62" s="180">
        <f>+N62</f>
        <v>3000</v>
      </c>
      <c r="V62" s="78"/>
      <c r="W62" s="179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</row>
    <row r="63" spans="1:38" ht="33" customHeight="1">
      <c r="A63" s="181" t="s">
        <v>19</v>
      </c>
      <c r="B63" s="182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>
        <v>2000</v>
      </c>
      <c r="O63" s="180"/>
      <c r="P63" s="180"/>
      <c r="Q63" s="180"/>
      <c r="R63" s="180"/>
      <c r="S63" s="180"/>
      <c r="T63" s="180"/>
      <c r="U63" s="180">
        <f>+N63</f>
        <v>2000</v>
      </c>
      <c r="V63" s="78"/>
      <c r="W63" s="179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  <row r="64" spans="1:38" ht="39" customHeight="1">
      <c r="A64" s="181" t="s">
        <v>18</v>
      </c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>
        <v>10000</v>
      </c>
      <c r="O64" s="180"/>
      <c r="P64" s="180"/>
      <c r="Q64" s="180"/>
      <c r="R64" s="180"/>
      <c r="S64" s="180"/>
      <c r="T64" s="180"/>
      <c r="U64" s="180">
        <f>+N64</f>
        <v>10000</v>
      </c>
      <c r="V64" s="78"/>
      <c r="W64" s="179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</row>
    <row r="65" spans="1:38" ht="48.75" customHeight="1">
      <c r="A65" s="22" t="s">
        <v>130</v>
      </c>
      <c r="B65" s="18" t="s">
        <v>74</v>
      </c>
      <c r="C65" s="121"/>
      <c r="D65" s="121"/>
      <c r="E65" s="16"/>
      <c r="F65" s="16"/>
      <c r="G65" s="28"/>
      <c r="H65" s="25"/>
      <c r="I65" s="25"/>
      <c r="J65" s="25"/>
      <c r="K65" s="25"/>
      <c r="L65" s="36"/>
      <c r="M65" s="36"/>
      <c r="N65" s="25"/>
      <c r="O65" s="25"/>
      <c r="P65" s="26"/>
      <c r="Q65" s="11"/>
      <c r="R65" s="26"/>
      <c r="S65" s="26"/>
      <c r="T65" s="25"/>
      <c r="U65" s="16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43.5" customHeight="1">
      <c r="A66" s="22" t="s">
        <v>2</v>
      </c>
      <c r="B66" s="18" t="s">
        <v>74</v>
      </c>
      <c r="C66" s="121"/>
      <c r="D66" s="121"/>
      <c r="E66" s="16"/>
      <c r="F66" s="16"/>
      <c r="G66" s="28"/>
      <c r="H66" s="25"/>
      <c r="I66" s="25"/>
      <c r="J66" s="25"/>
      <c r="K66" s="25"/>
      <c r="L66" s="36"/>
      <c r="M66" s="36"/>
      <c r="N66" s="25"/>
      <c r="O66" s="25"/>
      <c r="P66" s="26"/>
      <c r="Q66" s="11"/>
      <c r="R66" s="26"/>
      <c r="S66" s="26"/>
      <c r="T66" s="25"/>
      <c r="U66" s="1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42.75" customHeight="1">
      <c r="A67" s="22" t="s">
        <v>125</v>
      </c>
      <c r="B67" s="18"/>
      <c r="C67" s="25"/>
      <c r="D67" s="121"/>
      <c r="E67" s="16"/>
      <c r="F67" s="16"/>
      <c r="G67" s="16"/>
      <c r="H67" s="25"/>
      <c r="I67" s="25"/>
      <c r="J67" s="25"/>
      <c r="K67" s="25"/>
      <c r="L67" s="36"/>
      <c r="M67" s="36"/>
      <c r="N67" s="25"/>
      <c r="O67" s="25"/>
      <c r="P67" s="26"/>
      <c r="Q67" s="11"/>
      <c r="R67" s="26"/>
      <c r="S67" s="26"/>
      <c r="T67" s="25"/>
      <c r="U67" s="1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43.5" customHeight="1">
      <c r="A68" s="22" t="s">
        <v>3</v>
      </c>
      <c r="B68" s="18" t="s">
        <v>71</v>
      </c>
      <c r="C68" s="25"/>
      <c r="D68" s="121"/>
      <c r="E68" s="106"/>
      <c r="F68" s="106"/>
      <c r="G68" s="28"/>
      <c r="H68" s="25"/>
      <c r="I68" s="106"/>
      <c r="J68" s="106"/>
      <c r="K68" s="106"/>
      <c r="L68" s="106"/>
      <c r="M68" s="106"/>
      <c r="N68" s="25"/>
      <c r="O68" s="25"/>
      <c r="P68" s="26"/>
      <c r="Q68" s="11"/>
      <c r="R68" s="26"/>
      <c r="S68" s="26"/>
      <c r="T68" s="25"/>
      <c r="U68" s="1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46.5" customHeight="1">
      <c r="A69" s="22" t="s">
        <v>4</v>
      </c>
      <c r="B69" s="18" t="s">
        <v>74</v>
      </c>
      <c r="C69" s="121"/>
      <c r="D69" s="121"/>
      <c r="E69" s="16"/>
      <c r="F69" s="16"/>
      <c r="G69" s="28"/>
      <c r="H69" s="16"/>
      <c r="I69" s="25"/>
      <c r="J69" s="135"/>
      <c r="K69" s="135"/>
      <c r="L69" s="136"/>
      <c r="M69" s="36"/>
      <c r="N69" s="16"/>
      <c r="O69" s="25"/>
      <c r="P69" s="26"/>
      <c r="Q69" s="11"/>
      <c r="R69" s="26"/>
      <c r="S69" s="26"/>
      <c r="T69" s="25"/>
      <c r="U69" s="1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43.5" customHeight="1">
      <c r="A70" s="22" t="s">
        <v>51</v>
      </c>
      <c r="B70" s="37"/>
      <c r="C70" s="36">
        <f aca="true" t="shared" si="11" ref="C70:I70">SUM(C54:C69)</f>
        <v>19917.86</v>
      </c>
      <c r="D70" s="121">
        <f t="shared" si="11"/>
        <v>149.39999999999998</v>
      </c>
      <c r="E70" s="36">
        <f t="shared" si="11"/>
        <v>0</v>
      </c>
      <c r="F70" s="36">
        <f t="shared" si="11"/>
        <v>0</v>
      </c>
      <c r="G70" s="36">
        <f t="shared" si="11"/>
        <v>1672.2716666666668</v>
      </c>
      <c r="H70" s="36">
        <f t="shared" si="11"/>
        <v>549.5999999999999</v>
      </c>
      <c r="I70" s="36">
        <f t="shared" si="11"/>
        <v>0</v>
      </c>
      <c r="J70" s="36"/>
      <c r="K70" s="36"/>
      <c r="L70" s="36"/>
      <c r="M70" s="36"/>
      <c r="N70" s="36">
        <f>SUM(N54:N69)</f>
        <v>99676.76954166667</v>
      </c>
      <c r="O70" s="36">
        <f>SUM(O54:O69)</f>
        <v>8371.404750916667</v>
      </c>
      <c r="P70" s="36">
        <f>SUM(P54:P69)</f>
        <v>1060.8891453333335</v>
      </c>
      <c r="Q70" s="36">
        <f>SUM(Q54:Q69)</f>
        <v>765.4087814333334</v>
      </c>
      <c r="R70" s="36">
        <f>SUM(R54:R69)</f>
        <v>10197.702677683334</v>
      </c>
      <c r="S70" s="36"/>
      <c r="T70" s="36">
        <f>SUM(T54:T69)</f>
        <v>1095.2112193750002</v>
      </c>
      <c r="U70" s="74">
        <f>SUM(U54:U69)</f>
        <v>110969.683438725</v>
      </c>
      <c r="V70" s="104">
        <f>N70+R70+T70</f>
        <v>110969.68343872501</v>
      </c>
      <c r="W70" s="10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7.25" customHeight="1">
      <c r="A71" s="19"/>
      <c r="B71" s="52"/>
      <c r="C71" s="27"/>
      <c r="D71" s="71"/>
      <c r="E71" s="27"/>
      <c r="F71" s="27"/>
      <c r="G71" s="11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32.25" customHeight="1">
      <c r="A72" s="34" t="s">
        <v>30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31"/>
      <c r="T72" s="30"/>
      <c r="U72" s="33">
        <f>U51-U70</f>
        <v>876410.8114361614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33" customHeight="1">
      <c r="A73" s="54" t="s">
        <v>136</v>
      </c>
      <c r="B73" s="54"/>
      <c r="C73" s="55"/>
      <c r="D73" s="151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6"/>
      <c r="S73" s="56"/>
      <c r="T73" s="55"/>
      <c r="U73" s="155">
        <v>919490.7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36" customHeight="1">
      <c r="A74" s="38" t="s">
        <v>144</v>
      </c>
      <c r="B74" s="39"/>
      <c r="C74" s="39"/>
      <c r="D74" s="152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  <c r="S74" s="40"/>
      <c r="T74" s="39"/>
      <c r="U74" s="154">
        <f>+U73-U72</f>
        <v>43079.888563838555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2.75">
      <c r="A75" s="7"/>
      <c r="B75" s="6"/>
      <c r="C75" s="6"/>
      <c r="D75" s="153"/>
      <c r="E75" s="6"/>
      <c r="F75" s="6"/>
      <c r="G75" s="117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7"/>
      <c r="T75" s="6"/>
      <c r="U75" s="7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2.75">
      <c r="A76" s="6"/>
      <c r="B76" s="6"/>
      <c r="C76" s="6"/>
      <c r="D76" s="28"/>
      <c r="E76" s="6"/>
      <c r="F76" s="6"/>
      <c r="G76" s="117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6"/>
      <c r="U76" s="7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6" t="s">
        <v>26</v>
      </c>
      <c r="B77" s="6"/>
      <c r="C77" s="6"/>
      <c r="D77" s="28"/>
      <c r="E77" s="6"/>
      <c r="F77" s="6"/>
      <c r="G77" s="117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6"/>
      <c r="U77" s="7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2.75">
      <c r="A78" s="6"/>
      <c r="B78" s="6"/>
      <c r="C78" s="6"/>
      <c r="D78" s="147"/>
      <c r="E78" s="6"/>
      <c r="F78" s="6"/>
      <c r="G78" s="117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6"/>
      <c r="U78" s="7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2.75">
      <c r="A79" s="6"/>
      <c r="B79" s="6"/>
      <c r="C79" s="6"/>
      <c r="D79" s="142">
        <f>11.39/36*18</f>
        <v>5.695</v>
      </c>
      <c r="E79" s="6"/>
      <c r="F79" s="6"/>
      <c r="G79" s="117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  <c r="S79" s="7"/>
      <c r="T79" s="6"/>
      <c r="U79" s="7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2.75">
      <c r="A80" s="6" t="s">
        <v>104</v>
      </c>
      <c r="B80" s="85">
        <f>N40+U39+U43+R40</f>
        <v>906154.2875179014</v>
      </c>
      <c r="C80" s="6"/>
      <c r="D80" s="148"/>
      <c r="E80" s="6"/>
      <c r="F80" s="6"/>
      <c r="G80" s="117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6"/>
      <c r="U80" s="7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2.75">
      <c r="A81" s="6" t="s">
        <v>105</v>
      </c>
      <c r="B81" s="85">
        <f>+N33+R33+T33+U50</f>
        <v>10000</v>
      </c>
      <c r="C81" s="6"/>
      <c r="D81" s="143">
        <f>10.78*11</f>
        <v>118.58</v>
      </c>
      <c r="E81" s="6"/>
      <c r="F81" s="6"/>
      <c r="G81" s="117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6"/>
      <c r="U81" s="7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2.75">
      <c r="A82" s="6" t="s">
        <v>106</v>
      </c>
      <c r="B82" s="85">
        <f>T40</f>
        <v>53965.384177984946</v>
      </c>
      <c r="C82" s="6"/>
      <c r="D82" s="145">
        <f>+D35*30.56%</f>
        <v>0</v>
      </c>
      <c r="E82" s="6"/>
      <c r="F82" s="6"/>
      <c r="G82" s="117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6"/>
      <c r="U82" s="7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7" t="s">
        <v>108</v>
      </c>
      <c r="B83" s="86">
        <f>SUM(B80:B82)</f>
        <v>970119.6716958863</v>
      </c>
      <c r="C83" s="6"/>
      <c r="D83" s="149"/>
      <c r="E83" s="6"/>
      <c r="F83" s="6"/>
      <c r="G83" s="117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7"/>
      <c r="T83" s="6"/>
      <c r="U83" s="7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2.75">
      <c r="A84" s="6"/>
      <c r="B84" s="6"/>
      <c r="C84" s="6"/>
      <c r="D84" s="145">
        <f>D82/36*8</f>
        <v>0</v>
      </c>
      <c r="E84" s="6"/>
      <c r="F84" s="6"/>
      <c r="G84" s="117"/>
      <c r="H84" s="6"/>
      <c r="I84" s="6"/>
      <c r="J84" s="6"/>
      <c r="K84" s="6"/>
      <c r="L84" s="6"/>
      <c r="M84" s="6"/>
      <c r="N84" s="6"/>
      <c r="O84" s="6"/>
      <c r="P84" s="6"/>
      <c r="Q84" s="107"/>
      <c r="R84" s="7"/>
      <c r="S84" s="7"/>
      <c r="T84" s="6"/>
      <c r="U84" s="7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2.75">
      <c r="A85" s="6" t="s">
        <v>107</v>
      </c>
      <c r="B85" s="6"/>
      <c r="C85" s="6"/>
      <c r="D85" s="121">
        <f>12.16*12</f>
        <v>145.92000000000002</v>
      </c>
      <c r="E85" s="6"/>
      <c r="F85" s="85"/>
      <c r="G85" s="117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7"/>
      <c r="T85" s="6"/>
      <c r="U85" s="7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2.75">
      <c r="A86" s="6"/>
      <c r="B86" s="6"/>
      <c r="C86" s="6"/>
      <c r="D86" s="121">
        <f>12.16*12</f>
        <v>145.92000000000002</v>
      </c>
      <c r="E86" s="6"/>
      <c r="F86" s="6"/>
      <c r="G86" s="117"/>
      <c r="H86" s="6"/>
      <c r="I86" s="6"/>
      <c r="J86" s="6"/>
      <c r="K86" s="6"/>
      <c r="L86" s="6"/>
      <c r="M86" s="6"/>
      <c r="N86" s="6" t="s">
        <v>23</v>
      </c>
      <c r="O86" s="6"/>
      <c r="P86" s="6"/>
      <c r="Q86" s="6"/>
      <c r="R86" s="7"/>
      <c r="S86" s="7"/>
      <c r="T86" s="6"/>
      <c r="U86" s="7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2.75">
      <c r="A87" s="6" t="s">
        <v>120</v>
      </c>
      <c r="B87" s="85">
        <f>N56+N57+N58+R56+R57+R58+12129.83</f>
        <v>41550.0729301</v>
      </c>
      <c r="C87" s="6"/>
      <c r="D87" s="121">
        <f>(12.16/36*24)*4</f>
        <v>32.42666666666667</v>
      </c>
      <c r="E87" s="6"/>
      <c r="F87" s="6"/>
      <c r="G87" s="117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7"/>
      <c r="T87" s="6"/>
      <c r="U87" s="7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2.75">
      <c r="A88" s="6" t="s">
        <v>105</v>
      </c>
      <c r="B88" s="85">
        <f>N65+R65+T65+N66+R66+T66</f>
        <v>0</v>
      </c>
      <c r="C88" s="6"/>
      <c r="D88" s="146"/>
      <c r="E88" s="6"/>
      <c r="F88" s="6"/>
      <c r="G88" s="117"/>
      <c r="H88" s="6"/>
      <c r="I88" s="6"/>
      <c r="J88" s="6"/>
      <c r="K88" s="6"/>
      <c r="L88" s="6"/>
      <c r="M88" s="6"/>
      <c r="N88" s="6"/>
      <c r="O88" s="6"/>
      <c r="P88" s="6"/>
      <c r="Q88" s="107"/>
      <c r="R88" s="7"/>
      <c r="S88" s="7"/>
      <c r="T88" s="6"/>
      <c r="U88" s="7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2.75">
      <c r="A89" s="6" t="s">
        <v>121</v>
      </c>
      <c r="B89" s="85">
        <f>T70+1030.97</f>
        <v>2126.181219375</v>
      </c>
      <c r="C89" s="6"/>
      <c r="D89" s="146">
        <f>(13.23/36*30)*12</f>
        <v>132.3</v>
      </c>
      <c r="E89" s="6"/>
      <c r="F89" s="6"/>
      <c r="G89" s="117"/>
      <c r="H89" s="6"/>
      <c r="I89" s="6"/>
      <c r="J89" s="6"/>
      <c r="K89" s="6"/>
      <c r="L89" s="6"/>
      <c r="M89" s="107">
        <f>+U33+U34</f>
        <v>0</v>
      </c>
      <c r="N89" s="6"/>
      <c r="O89" s="6"/>
      <c r="P89" s="6"/>
      <c r="Q89" s="6"/>
      <c r="R89" s="7"/>
      <c r="S89" s="7"/>
      <c r="T89" s="6"/>
      <c r="U89" s="7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2.75">
      <c r="A90" s="7" t="s">
        <v>109</v>
      </c>
      <c r="B90" s="86">
        <f>SUM(B87:B89)</f>
        <v>43676.254149475004</v>
      </c>
      <c r="C90" s="6"/>
      <c r="D90" s="146">
        <f>(12.16/36*30)*7</f>
        <v>70.93333333333334</v>
      </c>
      <c r="E90" s="6"/>
      <c r="F90" s="6"/>
      <c r="G90" s="117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6"/>
      <c r="U90" s="7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2.75">
      <c r="A91" s="6"/>
      <c r="B91" s="6"/>
      <c r="C91" s="6"/>
      <c r="D91" s="146"/>
      <c r="E91" s="6"/>
      <c r="F91" s="6"/>
      <c r="G91" s="117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7"/>
      <c r="T91" s="6"/>
      <c r="U91" s="7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2.75">
      <c r="A92" s="7" t="s">
        <v>113</v>
      </c>
      <c r="B92" s="86">
        <f>B83-B90</f>
        <v>926443.4175464113</v>
      </c>
      <c r="C92" s="6"/>
      <c r="D92" s="146"/>
      <c r="E92" s="6"/>
      <c r="F92" s="6"/>
      <c r="G92" s="117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6"/>
      <c r="U92" s="7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2.75">
      <c r="A93" s="6"/>
      <c r="B93" s="6"/>
      <c r="C93" s="6"/>
      <c r="D93" s="146"/>
      <c r="E93" s="6"/>
      <c r="F93" s="6"/>
      <c r="G93" s="117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7"/>
      <c r="T93" s="6"/>
      <c r="U93" s="7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2.75">
      <c r="A94" s="87" t="s">
        <v>110</v>
      </c>
      <c r="B94" s="88">
        <v>13160</v>
      </c>
      <c r="C94" s="6"/>
      <c r="D94" s="146"/>
      <c r="E94" s="6"/>
      <c r="F94" s="6"/>
      <c r="G94" s="117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7"/>
      <c r="T94" s="6"/>
      <c r="U94" s="7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3.5" thickBot="1">
      <c r="A95" s="89" t="s">
        <v>111</v>
      </c>
      <c r="B95" s="90">
        <f>13160-(13160*8.5/108.5)</f>
        <v>12129.032258064515</v>
      </c>
      <c r="C95" s="6"/>
      <c r="D95" s="143"/>
      <c r="E95" s="6"/>
      <c r="F95" s="6"/>
      <c r="G95" s="117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6"/>
      <c r="U95" s="7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26.25" thickBot="1">
      <c r="A96" s="89" t="s">
        <v>112</v>
      </c>
      <c r="B96" s="90">
        <f>B95*8.5%</f>
        <v>1030.967741935484</v>
      </c>
      <c r="C96" s="6"/>
      <c r="D96" s="36">
        <f>SUM(D73:D95)</f>
        <v>651.7750000000001</v>
      </c>
      <c r="E96" s="99" t="s">
        <v>118</v>
      </c>
      <c r="F96" s="95" t="s">
        <v>73</v>
      </c>
      <c r="G96" s="118" t="s">
        <v>115</v>
      </c>
      <c r="H96" s="96" t="s">
        <v>116</v>
      </c>
      <c r="I96" s="96" t="s">
        <v>70</v>
      </c>
      <c r="J96" s="95" t="s">
        <v>117</v>
      </c>
      <c r="K96" s="95" t="s">
        <v>78</v>
      </c>
      <c r="L96" s="95" t="s">
        <v>72</v>
      </c>
      <c r="M96" s="6"/>
      <c r="N96" s="6"/>
      <c r="O96" s="6"/>
      <c r="P96" s="6"/>
      <c r="Q96" s="6"/>
      <c r="R96" s="7"/>
      <c r="S96" s="7"/>
      <c r="T96" s="6"/>
      <c r="U96" s="7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12.75">
      <c r="A97" s="91"/>
      <c r="B97" s="92">
        <f>SUM(B95:B96)</f>
        <v>13160</v>
      </c>
      <c r="C97" s="6"/>
      <c r="D97" s="27"/>
      <c r="E97" s="94"/>
      <c r="F97" s="205">
        <f>E98</f>
        <v>12884.837875000001</v>
      </c>
      <c r="G97" s="212">
        <f>F97*0.238</f>
        <v>3066.59141425</v>
      </c>
      <c r="H97" s="214">
        <f>(A97)*0.8*0.036</f>
        <v>0</v>
      </c>
      <c r="I97" s="214">
        <v>0</v>
      </c>
      <c r="J97" s="216">
        <f>SUM(G97:I97)</f>
        <v>3066.59141425</v>
      </c>
      <c r="K97" s="225">
        <f>F97*0.085</f>
        <v>1095.2112193750002</v>
      </c>
      <c r="L97" s="227">
        <f>F97+J97+K97</f>
        <v>17046.640508625</v>
      </c>
      <c r="M97" s="6"/>
      <c r="N97" s="6"/>
      <c r="O97" s="6"/>
      <c r="P97" s="6"/>
      <c r="Q97" s="6"/>
      <c r="R97" s="7"/>
      <c r="S97" s="7"/>
      <c r="T97" s="6"/>
      <c r="U97" s="7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13.5" thickBot="1">
      <c r="A98" s="6"/>
      <c r="B98" s="6"/>
      <c r="C98" s="6"/>
      <c r="D98" s="30"/>
      <c r="E98" s="94">
        <f>N6</f>
        <v>12884.837875000001</v>
      </c>
      <c r="F98" s="229"/>
      <c r="G98" s="213"/>
      <c r="H98" s="215"/>
      <c r="I98" s="215"/>
      <c r="J98" s="217"/>
      <c r="K98" s="226"/>
      <c r="L98" s="228"/>
      <c r="M98" s="6"/>
      <c r="N98" s="6"/>
      <c r="O98" s="6"/>
      <c r="P98" s="6"/>
      <c r="Q98" s="6"/>
      <c r="R98" s="7"/>
      <c r="S98" s="7"/>
      <c r="T98" s="6"/>
      <c r="U98" s="7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ht="12.75">
      <c r="A99" s="98" t="s">
        <v>114</v>
      </c>
      <c r="B99" s="6"/>
      <c r="C99" s="6"/>
      <c r="D99" s="55"/>
      <c r="E99" s="6"/>
      <c r="F99" s="6"/>
      <c r="G99" s="117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6"/>
      <c r="U99" s="7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ht="12.75">
      <c r="A100" s="93" t="s">
        <v>111</v>
      </c>
      <c r="B100" s="85">
        <f>E98</f>
        <v>12884.837875000001</v>
      </c>
      <c r="C100" s="6"/>
      <c r="D100" s="39"/>
      <c r="E100" s="206"/>
      <c r="F100" s="223"/>
      <c r="G100" s="224"/>
      <c r="H100" s="223"/>
      <c r="I100" s="206"/>
      <c r="J100" s="207"/>
      <c r="K100" s="208"/>
      <c r="L100" s="93"/>
      <c r="M100" s="6"/>
      <c r="N100" s="6"/>
      <c r="O100" s="6"/>
      <c r="P100" s="6"/>
      <c r="Q100" s="6"/>
      <c r="R100" s="7"/>
      <c r="S100" s="7"/>
      <c r="T100" s="6"/>
      <c r="U100" s="7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12.75">
      <c r="A101" s="93" t="s">
        <v>28</v>
      </c>
      <c r="B101" s="85">
        <f>J97</f>
        <v>3066.59141425</v>
      </c>
      <c r="C101" s="6"/>
      <c r="D101" s="6"/>
      <c r="E101" s="206"/>
      <c r="F101" s="223"/>
      <c r="G101" s="224"/>
      <c r="H101" s="223"/>
      <c r="I101" s="206"/>
      <c r="J101" s="207"/>
      <c r="K101" s="208"/>
      <c r="L101" s="93"/>
      <c r="M101" s="6"/>
      <c r="N101" s="6"/>
      <c r="O101" s="6"/>
      <c r="P101" s="6"/>
      <c r="Q101" s="6"/>
      <c r="R101" s="7"/>
      <c r="S101" s="7"/>
      <c r="T101" s="6"/>
      <c r="U101" s="7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12.75">
      <c r="A102" s="93" t="s">
        <v>112</v>
      </c>
      <c r="B102" s="85">
        <f>K97</f>
        <v>1095.2112193750002</v>
      </c>
      <c r="C102" s="6"/>
      <c r="D102" s="6"/>
      <c r="E102" s="6"/>
      <c r="F102" s="6"/>
      <c r="G102" s="11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6"/>
      <c r="U102" s="7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12.75">
      <c r="A103" s="93" t="s">
        <v>119</v>
      </c>
      <c r="B103" s="97">
        <f>SUM(B100:B102)</f>
        <v>17046.640508625</v>
      </c>
      <c r="C103" s="6"/>
      <c r="D103" s="6"/>
      <c r="E103" s="6"/>
      <c r="F103" s="6"/>
      <c r="G103" s="11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6"/>
      <c r="U103" s="7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ht="12.75">
      <c r="A104" s="6"/>
      <c r="B104" s="6"/>
      <c r="C104" s="6"/>
      <c r="D104" s="6"/>
      <c r="E104" s="6"/>
      <c r="F104" s="6"/>
      <c r="G104" s="11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6"/>
      <c r="U104" s="7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ht="12.75">
      <c r="A105" s="6"/>
      <c r="B105" s="6"/>
      <c r="C105" s="6"/>
      <c r="D105" s="6"/>
      <c r="E105" s="6"/>
      <c r="F105" s="6"/>
      <c r="G105" s="11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6"/>
      <c r="U105" s="7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12.75">
      <c r="A106" s="6"/>
      <c r="B106" s="6"/>
      <c r="C106" s="6"/>
      <c r="D106" s="6"/>
      <c r="E106" s="6"/>
      <c r="F106" s="6"/>
      <c r="G106" s="11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6"/>
      <c r="U106" s="7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ht="12.75">
      <c r="A107" s="6"/>
      <c r="B107" s="6"/>
      <c r="C107" s="6"/>
      <c r="D107" s="6"/>
      <c r="E107" s="6"/>
      <c r="F107" s="6"/>
      <c r="G107" s="11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6"/>
      <c r="U107" s="7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ht="12.75">
      <c r="A108" s="6"/>
      <c r="B108" s="6"/>
      <c r="C108" s="6"/>
      <c r="D108" s="6"/>
      <c r="E108" s="6"/>
      <c r="F108" s="6"/>
      <c r="G108" s="11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6"/>
      <c r="U108" s="7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ht="12.75">
      <c r="A109" s="6"/>
      <c r="B109" s="6"/>
      <c r="C109" s="6"/>
      <c r="D109" s="6"/>
      <c r="E109" s="6"/>
      <c r="F109" s="6"/>
      <c r="G109" s="11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6"/>
      <c r="U109" s="7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ht="12.75">
      <c r="A110" s="6"/>
      <c r="B110" s="6"/>
      <c r="C110" s="6"/>
      <c r="D110" s="6"/>
      <c r="E110" s="6"/>
      <c r="F110" s="6"/>
      <c r="G110" s="11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6"/>
      <c r="U110" s="7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ht="12.75">
      <c r="A111" s="6"/>
      <c r="B111" s="6"/>
      <c r="C111" s="6"/>
      <c r="D111" s="6"/>
      <c r="E111" s="6"/>
      <c r="F111" s="6"/>
      <c r="G111" s="11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6"/>
      <c r="U111" s="7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ht="12.75">
      <c r="A112" s="6"/>
      <c r="B112" s="6"/>
      <c r="C112" s="6"/>
      <c r="D112" s="6"/>
      <c r="E112" s="6"/>
      <c r="F112" s="6"/>
      <c r="G112" s="11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7"/>
      <c r="T112" s="6"/>
      <c r="U112" s="7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ht="12.75">
      <c r="A113" s="6"/>
      <c r="B113" s="6"/>
      <c r="C113" s="6"/>
      <c r="D113" s="6"/>
      <c r="E113" s="6"/>
      <c r="F113" s="6"/>
      <c r="G113" s="11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7"/>
      <c r="T113" s="6"/>
      <c r="U113" s="7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ht="12.75">
      <c r="A114" s="6"/>
      <c r="B114" s="6"/>
      <c r="C114" s="6"/>
      <c r="D114" s="6"/>
      <c r="E114" s="6"/>
      <c r="F114" s="6"/>
      <c r="G114" s="11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7"/>
      <c r="T114" s="6"/>
      <c r="U114" s="7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ht="12.75">
      <c r="A115" s="6"/>
      <c r="B115" s="6"/>
      <c r="C115" s="6"/>
      <c r="D115" s="6"/>
      <c r="E115" s="6"/>
      <c r="F115" s="6"/>
      <c r="G115" s="11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7"/>
      <c r="T115" s="6"/>
      <c r="U115" s="7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ht="12.75">
      <c r="A116" s="6"/>
      <c r="B116" s="6"/>
      <c r="C116" s="6"/>
      <c r="D116" s="6"/>
      <c r="E116" s="6"/>
      <c r="F116" s="6"/>
      <c r="G116" s="11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6"/>
      <c r="U116" s="7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ht="12.75">
      <c r="A117" s="6"/>
      <c r="B117" s="6"/>
      <c r="C117" s="6"/>
      <c r="D117" s="6"/>
      <c r="E117" s="6"/>
      <c r="F117" s="6"/>
      <c r="G117" s="11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/>
      <c r="S117" s="7"/>
      <c r="T117" s="6"/>
      <c r="U117" s="7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ht="12.75">
      <c r="A118" s="6"/>
      <c r="B118" s="6"/>
      <c r="C118" s="6"/>
      <c r="D118" s="6"/>
      <c r="E118" s="6"/>
      <c r="F118" s="6"/>
      <c r="G118" s="11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6"/>
      <c r="U118" s="7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ht="12.75">
      <c r="A119" s="6"/>
      <c r="B119" s="6"/>
      <c r="C119" s="6"/>
      <c r="D119" s="6"/>
      <c r="E119" s="6"/>
      <c r="F119" s="6"/>
      <c r="G119" s="11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/>
      <c r="S119" s="7"/>
      <c r="T119" s="6"/>
      <c r="U119" s="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ht="12.75">
      <c r="A120" s="6"/>
      <c r="B120" s="6"/>
      <c r="C120" s="6"/>
      <c r="D120" s="6"/>
      <c r="E120" s="6"/>
      <c r="F120" s="6"/>
      <c r="G120" s="11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6"/>
      <c r="U120" s="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ht="12.75">
      <c r="A121" s="6"/>
      <c r="B121" s="6"/>
      <c r="C121" s="6"/>
      <c r="D121" s="6"/>
      <c r="E121" s="6"/>
      <c r="F121" s="6"/>
      <c r="G121" s="11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/>
      <c r="S121" s="7"/>
      <c r="T121" s="6"/>
      <c r="U121" s="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ht="12.75">
      <c r="A122" s="6"/>
      <c r="B122" s="6"/>
      <c r="C122" s="6"/>
      <c r="D122" s="6"/>
      <c r="E122" s="6"/>
      <c r="F122" s="6"/>
      <c r="G122" s="11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/>
      <c r="T122" s="6"/>
      <c r="U122" s="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ht="12.75">
      <c r="A123" s="6"/>
      <c r="B123" s="6"/>
      <c r="C123" s="6"/>
      <c r="D123" s="6"/>
      <c r="E123" s="6"/>
      <c r="F123" s="6"/>
      <c r="G123" s="11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7"/>
      <c r="S123" s="7"/>
      <c r="T123" s="6"/>
      <c r="U123" s="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ht="12.75">
      <c r="A124" s="6"/>
      <c r="B124" s="6"/>
      <c r="C124" s="6"/>
      <c r="D124" s="6"/>
      <c r="E124" s="6"/>
      <c r="F124" s="6"/>
      <c r="G124" s="11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/>
      <c r="S124" s="7"/>
      <c r="T124" s="6"/>
      <c r="U124" s="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ht="12.75">
      <c r="A125" s="6"/>
      <c r="B125" s="6"/>
      <c r="C125" s="6"/>
      <c r="D125" s="6"/>
      <c r="E125" s="6"/>
      <c r="F125" s="6"/>
      <c r="G125" s="11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/>
      <c r="S125" s="7"/>
      <c r="T125" s="6"/>
      <c r="U125" s="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12.75">
      <c r="A126" s="6"/>
      <c r="B126" s="6"/>
      <c r="C126" s="6"/>
      <c r="D126" s="6"/>
      <c r="E126" s="6"/>
      <c r="F126" s="6"/>
      <c r="G126" s="11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7"/>
      <c r="S126" s="7"/>
      <c r="T126" s="6"/>
      <c r="U126" s="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2.75">
      <c r="A127" s="6"/>
      <c r="B127" s="6"/>
      <c r="C127" s="6"/>
      <c r="D127" s="6"/>
      <c r="E127" s="6"/>
      <c r="F127" s="6"/>
      <c r="G127" s="11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7"/>
      <c r="S127" s="7"/>
      <c r="T127" s="6"/>
      <c r="U127" s="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2.75">
      <c r="A128" s="6"/>
      <c r="B128" s="6"/>
      <c r="C128" s="6"/>
      <c r="D128" s="6"/>
      <c r="E128" s="6"/>
      <c r="F128" s="6"/>
      <c r="G128" s="11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"/>
      <c r="S128" s="7"/>
      <c r="T128" s="6"/>
      <c r="U128" s="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2.75">
      <c r="A129" s="6"/>
      <c r="B129" s="6"/>
      <c r="C129" s="6"/>
      <c r="D129" s="6"/>
      <c r="E129" s="6"/>
      <c r="F129" s="6"/>
      <c r="G129" s="11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7"/>
      <c r="S129" s="7"/>
      <c r="T129" s="6"/>
      <c r="U129" s="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2.75">
      <c r="A130" s="6"/>
      <c r="B130" s="6"/>
      <c r="C130" s="6"/>
      <c r="D130" s="6"/>
      <c r="E130" s="6"/>
      <c r="F130" s="6"/>
      <c r="G130" s="11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7"/>
      <c r="S130" s="7"/>
      <c r="T130" s="6"/>
      <c r="U130" s="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12.75">
      <c r="A131" s="6"/>
      <c r="B131" s="6"/>
      <c r="C131" s="6"/>
      <c r="D131" s="6"/>
      <c r="E131" s="6"/>
      <c r="F131" s="6"/>
      <c r="G131" s="11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7"/>
      <c r="S131" s="7"/>
      <c r="T131" s="6"/>
      <c r="U131" s="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2.75">
      <c r="A132" s="6"/>
      <c r="B132" s="6"/>
      <c r="C132" s="6"/>
      <c r="D132" s="6"/>
      <c r="E132" s="6"/>
      <c r="F132" s="6"/>
      <c r="G132" s="11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7"/>
      <c r="S132" s="7"/>
      <c r="T132" s="6"/>
      <c r="U132" s="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2.75">
      <c r="A133" s="6"/>
      <c r="B133" s="6"/>
      <c r="C133" s="6"/>
      <c r="D133" s="6"/>
      <c r="E133" s="6"/>
      <c r="F133" s="6"/>
      <c r="G133" s="11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/>
      <c r="S133" s="7"/>
      <c r="T133" s="6"/>
      <c r="U133" s="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2.75">
      <c r="A134" s="6"/>
      <c r="B134" s="6"/>
      <c r="C134" s="6"/>
      <c r="D134" s="6"/>
      <c r="E134" s="6"/>
      <c r="F134" s="6"/>
      <c r="G134" s="11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7"/>
      <c r="S134" s="7"/>
      <c r="T134" s="6"/>
      <c r="U134" s="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2.75">
      <c r="A135" s="6"/>
      <c r="B135" s="6"/>
      <c r="C135" s="6"/>
      <c r="D135" s="6"/>
      <c r="E135" s="6"/>
      <c r="F135" s="6"/>
      <c r="G135" s="11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7"/>
      <c r="S135" s="7"/>
      <c r="T135" s="6"/>
      <c r="U135" s="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2.75">
      <c r="A136" s="6"/>
      <c r="B136" s="6"/>
      <c r="C136" s="6"/>
      <c r="D136" s="6"/>
      <c r="E136" s="6"/>
      <c r="F136" s="6"/>
      <c r="G136" s="11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  <c r="S136" s="7"/>
      <c r="T136" s="6"/>
      <c r="U136" s="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2.75">
      <c r="A137" s="6"/>
      <c r="B137" s="6"/>
      <c r="C137" s="6"/>
      <c r="D137" s="6"/>
      <c r="E137" s="6"/>
      <c r="F137" s="6"/>
      <c r="G137" s="11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7"/>
      <c r="S137" s="7"/>
      <c r="T137" s="6"/>
      <c r="U137" s="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2.75">
      <c r="A138" s="6"/>
      <c r="B138" s="6"/>
      <c r="C138" s="6"/>
      <c r="D138" s="6"/>
      <c r="E138" s="6"/>
      <c r="F138" s="6"/>
      <c r="G138" s="11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"/>
      <c r="S138" s="7"/>
      <c r="T138" s="6"/>
      <c r="U138" s="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2.75">
      <c r="A139" s="6"/>
      <c r="B139" s="6"/>
      <c r="C139" s="6"/>
      <c r="D139" s="6"/>
      <c r="E139" s="6"/>
      <c r="F139" s="6"/>
      <c r="G139" s="11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7"/>
      <c r="S139" s="7"/>
      <c r="T139" s="6"/>
      <c r="U139" s="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2.75">
      <c r="A140" s="6"/>
      <c r="B140" s="6"/>
      <c r="C140" s="6"/>
      <c r="D140" s="6"/>
      <c r="E140" s="6"/>
      <c r="F140" s="6"/>
      <c r="G140" s="11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7"/>
      <c r="S140" s="7"/>
      <c r="T140" s="6"/>
      <c r="U140" s="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2.75">
      <c r="A141" s="6"/>
      <c r="B141" s="6"/>
      <c r="C141" s="6"/>
      <c r="D141" s="6"/>
      <c r="E141" s="6"/>
      <c r="F141" s="6"/>
      <c r="G141" s="11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7"/>
      <c r="S141" s="7"/>
      <c r="T141" s="6"/>
      <c r="U141" s="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2.75">
      <c r="A142" s="6"/>
      <c r="B142" s="6"/>
      <c r="C142" s="6"/>
      <c r="D142" s="6"/>
      <c r="E142" s="6"/>
      <c r="F142" s="6"/>
      <c r="G142" s="11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6"/>
      <c r="U142" s="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2.75">
      <c r="A143" s="6"/>
      <c r="B143" s="6"/>
      <c r="C143" s="6"/>
      <c r="D143" s="6"/>
      <c r="E143" s="6"/>
      <c r="F143" s="6"/>
      <c r="G143" s="11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7"/>
      <c r="S143" s="7"/>
      <c r="T143" s="6"/>
      <c r="U143" s="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ht="12.75">
      <c r="A144" s="6"/>
      <c r="B144" s="6"/>
      <c r="C144" s="6"/>
      <c r="D144" s="6"/>
      <c r="E144" s="6"/>
      <c r="F144" s="6"/>
      <c r="G144" s="11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7"/>
      <c r="S144" s="7"/>
      <c r="T144" s="6"/>
      <c r="U144" s="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2.75">
      <c r="A145" s="6"/>
      <c r="B145" s="6"/>
      <c r="C145" s="6"/>
      <c r="D145" s="6"/>
      <c r="E145" s="6"/>
      <c r="F145" s="6"/>
      <c r="G145" s="11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7"/>
      <c r="S145" s="7"/>
      <c r="T145" s="6"/>
      <c r="U145" s="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2.75">
      <c r="A146" s="6"/>
      <c r="B146" s="6"/>
      <c r="C146" s="6"/>
      <c r="D146" s="6"/>
      <c r="E146" s="6"/>
      <c r="F146" s="6"/>
      <c r="G146" s="11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"/>
      <c r="S146" s="7"/>
      <c r="T146" s="6"/>
      <c r="U146" s="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2.75">
      <c r="A147" s="6"/>
      <c r="B147" s="6"/>
      <c r="C147" s="6"/>
      <c r="D147" s="6"/>
      <c r="E147" s="6"/>
      <c r="F147" s="6"/>
      <c r="G147" s="11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7"/>
      <c r="S147" s="7"/>
      <c r="T147" s="6"/>
      <c r="U147" s="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2.75">
      <c r="A148" s="6"/>
      <c r="B148" s="6"/>
      <c r="C148" s="6"/>
      <c r="D148" s="6"/>
      <c r="E148" s="6"/>
      <c r="F148" s="6"/>
      <c r="G148" s="11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7"/>
      <c r="S148" s="7"/>
      <c r="T148" s="6"/>
      <c r="U148" s="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2.75">
      <c r="A149" s="6"/>
      <c r="B149" s="6"/>
      <c r="C149" s="6"/>
      <c r="D149" s="6"/>
      <c r="E149" s="6"/>
      <c r="F149" s="6"/>
      <c r="G149" s="11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7"/>
      <c r="S149" s="7"/>
      <c r="T149" s="6"/>
      <c r="U149" s="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2.75">
      <c r="A150" s="6"/>
      <c r="B150" s="6"/>
      <c r="C150" s="6"/>
      <c r="D150" s="6"/>
      <c r="E150" s="6"/>
      <c r="F150" s="6"/>
      <c r="G150" s="11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7"/>
      <c r="S150" s="7"/>
      <c r="T150" s="6"/>
      <c r="U150" s="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2.75">
      <c r="A151" s="6"/>
      <c r="B151" s="6"/>
      <c r="C151" s="6"/>
      <c r="D151" s="6"/>
      <c r="E151" s="6"/>
      <c r="F151" s="6"/>
      <c r="G151" s="11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7"/>
      <c r="S151" s="7"/>
      <c r="T151" s="6"/>
      <c r="U151" s="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2.75">
      <c r="A152" s="6"/>
      <c r="B152" s="6"/>
      <c r="C152" s="6"/>
      <c r="D152" s="6"/>
      <c r="E152" s="6"/>
      <c r="F152" s="6"/>
      <c r="G152" s="11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7"/>
      <c r="S152" s="7"/>
      <c r="T152" s="6"/>
      <c r="U152" s="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2.75">
      <c r="A153" s="6"/>
      <c r="B153" s="6"/>
      <c r="C153" s="6"/>
      <c r="D153" s="6"/>
      <c r="E153" s="6"/>
      <c r="F153" s="6"/>
      <c r="G153" s="11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7"/>
      <c r="S153" s="7"/>
      <c r="T153" s="6"/>
      <c r="U153" s="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2.75">
      <c r="A154" s="6"/>
      <c r="B154" s="6"/>
      <c r="C154" s="6"/>
      <c r="D154" s="6"/>
      <c r="E154" s="6"/>
      <c r="F154" s="6"/>
      <c r="G154" s="11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7"/>
      <c r="S154" s="7"/>
      <c r="T154" s="6"/>
      <c r="U154" s="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2.75">
      <c r="A155" s="6"/>
      <c r="B155" s="6"/>
      <c r="C155" s="6"/>
      <c r="D155" s="6"/>
      <c r="E155" s="6"/>
      <c r="F155" s="6"/>
      <c r="G155" s="11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/>
      <c r="S155" s="7"/>
      <c r="T155" s="6"/>
      <c r="U155" s="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2.75">
      <c r="A156" s="6"/>
      <c r="B156" s="6"/>
      <c r="C156" s="6"/>
      <c r="D156" s="6"/>
      <c r="E156" s="6"/>
      <c r="F156" s="6"/>
      <c r="G156" s="11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7"/>
      <c r="S156" s="7"/>
      <c r="T156" s="6"/>
      <c r="U156" s="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ht="12.75">
      <c r="A157" s="6"/>
      <c r="B157" s="6"/>
      <c r="C157" s="6"/>
      <c r="D157" s="6"/>
      <c r="E157" s="6"/>
      <c r="F157" s="6"/>
      <c r="G157" s="11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  <c r="S157" s="7"/>
      <c r="T157" s="6"/>
      <c r="U157" s="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ht="12.75">
      <c r="A158" s="6"/>
      <c r="B158" s="6"/>
      <c r="C158" s="6"/>
      <c r="D158" s="6"/>
      <c r="E158" s="6"/>
      <c r="F158" s="6"/>
      <c r="G158" s="11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7"/>
      <c r="S158" s="7"/>
      <c r="T158" s="6"/>
      <c r="U158" s="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ht="12.75">
      <c r="A159" s="6"/>
      <c r="B159" s="6"/>
      <c r="C159" s="6"/>
      <c r="D159" s="6"/>
      <c r="E159" s="6"/>
      <c r="F159" s="6"/>
      <c r="G159" s="11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7"/>
      <c r="S159" s="7"/>
      <c r="T159" s="6"/>
      <c r="U159" s="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2.75">
      <c r="A160" s="6"/>
      <c r="B160" s="6"/>
      <c r="C160" s="6"/>
      <c r="D160" s="6"/>
      <c r="E160" s="6"/>
      <c r="F160" s="6"/>
      <c r="G160" s="11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7"/>
      <c r="S160" s="7"/>
      <c r="T160" s="6"/>
      <c r="U160" s="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2.75">
      <c r="A161" s="6"/>
      <c r="B161" s="6"/>
      <c r="C161" s="6"/>
      <c r="D161" s="6"/>
      <c r="E161" s="6"/>
      <c r="F161" s="6"/>
      <c r="G161" s="11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7"/>
      <c r="S161" s="7"/>
      <c r="T161" s="6"/>
      <c r="U161" s="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2.75">
      <c r="A162" s="6"/>
      <c r="B162" s="6"/>
      <c r="C162" s="6"/>
      <c r="D162" s="6"/>
      <c r="E162" s="6"/>
      <c r="F162" s="6"/>
      <c r="G162" s="11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7"/>
      <c r="S162" s="7"/>
      <c r="T162" s="6"/>
      <c r="U162" s="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2.75">
      <c r="A163" s="6"/>
      <c r="B163" s="6"/>
      <c r="C163" s="6"/>
      <c r="D163" s="6"/>
      <c r="E163" s="6"/>
      <c r="F163" s="6"/>
      <c r="G163" s="11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7"/>
      <c r="S163" s="7"/>
      <c r="T163" s="6"/>
      <c r="U163" s="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2.75">
      <c r="A164" s="6"/>
      <c r="B164" s="6"/>
      <c r="C164" s="6"/>
      <c r="D164" s="6"/>
      <c r="E164" s="6"/>
      <c r="F164" s="6"/>
      <c r="G164" s="11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7"/>
      <c r="S164" s="7"/>
      <c r="T164" s="6"/>
      <c r="U164" s="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2.75">
      <c r="A165" s="6"/>
      <c r="B165" s="6"/>
      <c r="C165" s="6"/>
      <c r="D165" s="6"/>
      <c r="E165" s="6"/>
      <c r="F165" s="6"/>
      <c r="G165" s="11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7"/>
      <c r="S165" s="7"/>
      <c r="T165" s="6"/>
      <c r="U165" s="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2.75">
      <c r="A166" s="6"/>
      <c r="B166" s="6"/>
      <c r="C166" s="6"/>
      <c r="D166" s="6"/>
      <c r="E166" s="6"/>
      <c r="F166" s="6"/>
      <c r="G166" s="11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7"/>
      <c r="S166" s="7"/>
      <c r="T166" s="6"/>
      <c r="U166" s="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2.75">
      <c r="A167" s="6"/>
      <c r="B167" s="6"/>
      <c r="C167" s="6"/>
      <c r="D167" s="6"/>
      <c r="E167" s="6"/>
      <c r="F167" s="6"/>
      <c r="G167" s="11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7"/>
      <c r="S167" s="7"/>
      <c r="T167" s="6"/>
      <c r="U167" s="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2.75">
      <c r="A168" s="6"/>
      <c r="B168" s="6"/>
      <c r="C168" s="6"/>
      <c r="D168" s="6"/>
      <c r="E168" s="6"/>
      <c r="F168" s="6"/>
      <c r="G168" s="11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7"/>
      <c r="S168" s="7"/>
      <c r="T168" s="6"/>
      <c r="U168" s="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2.75">
      <c r="A169" s="6"/>
      <c r="B169" s="6"/>
      <c r="C169" s="6"/>
      <c r="D169" s="6"/>
      <c r="E169" s="6"/>
      <c r="F169" s="6"/>
      <c r="G169" s="11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7"/>
      <c r="S169" s="7"/>
      <c r="T169" s="6"/>
      <c r="U169" s="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2.75">
      <c r="A170" s="6"/>
      <c r="B170" s="6"/>
      <c r="C170" s="6"/>
      <c r="D170" s="6"/>
      <c r="E170" s="6"/>
      <c r="F170" s="6"/>
      <c r="G170" s="11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7"/>
      <c r="S170" s="7"/>
      <c r="T170" s="6"/>
      <c r="U170" s="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ht="12.75">
      <c r="A171" s="6"/>
      <c r="B171" s="6"/>
      <c r="C171" s="6"/>
      <c r="D171" s="6"/>
      <c r="E171" s="6"/>
      <c r="F171" s="6"/>
      <c r="G171" s="11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7"/>
      <c r="S171" s="7"/>
      <c r="T171" s="6"/>
      <c r="U171" s="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ht="12.75">
      <c r="A172" s="6"/>
      <c r="B172" s="6"/>
      <c r="C172" s="6"/>
      <c r="D172" s="6"/>
      <c r="E172" s="6"/>
      <c r="F172" s="6"/>
      <c r="G172" s="11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/>
      <c r="S172" s="7"/>
      <c r="T172" s="6"/>
      <c r="U172" s="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4:38" ht="12.75">
      <c r="D173" s="6"/>
      <c r="G173" s="117"/>
      <c r="R173" s="2"/>
      <c r="S173" s="2"/>
      <c r="U173" s="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4:38" ht="12.75">
      <c r="D174" s="6"/>
      <c r="G174" s="117"/>
      <c r="R174" s="2"/>
      <c r="S174" s="2"/>
      <c r="U174" s="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4:38" ht="12.75">
      <c r="D175" s="6"/>
      <c r="G175" s="117"/>
      <c r="R175" s="2"/>
      <c r="S175" s="2"/>
      <c r="U175" s="2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4:38" ht="12.75">
      <c r="D176" s="6"/>
      <c r="G176" s="117"/>
      <c r="R176" s="2"/>
      <c r="S176" s="2"/>
      <c r="U176" s="2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4:38" ht="12.75">
      <c r="D177" s="6"/>
      <c r="G177" s="117"/>
      <c r="R177" s="2"/>
      <c r="S177" s="2"/>
      <c r="U177" s="2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4:38" ht="12.75">
      <c r="D178" s="6"/>
      <c r="G178" s="117"/>
      <c r="R178" s="2"/>
      <c r="S178" s="2"/>
      <c r="U178" s="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4:38" ht="12.75">
      <c r="D179" s="6"/>
      <c r="G179" s="117"/>
      <c r="R179" s="2"/>
      <c r="S179" s="2"/>
      <c r="U179" s="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4:38" ht="12.75">
      <c r="D180" s="6"/>
      <c r="G180" s="117"/>
      <c r="R180" s="2"/>
      <c r="S180" s="2"/>
      <c r="U180" s="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4:38" ht="12.75">
      <c r="D181" s="6"/>
      <c r="G181" s="117"/>
      <c r="R181" s="2"/>
      <c r="S181" s="2"/>
      <c r="U181" s="2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4:38" ht="12.75">
      <c r="D182" s="6"/>
      <c r="G182" s="117"/>
      <c r="R182" s="2"/>
      <c r="S182" s="2"/>
      <c r="U182" s="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4:38" ht="12.75">
      <c r="D183" s="6"/>
      <c r="G183" s="117"/>
      <c r="R183" s="2"/>
      <c r="S183" s="2"/>
      <c r="U183" s="2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4:38" ht="12.75">
      <c r="D184" s="6"/>
      <c r="G184" s="117"/>
      <c r="R184" s="2"/>
      <c r="S184" s="2"/>
      <c r="U184" s="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4:38" ht="12.75">
      <c r="D185" s="6"/>
      <c r="G185" s="117"/>
      <c r="R185" s="2"/>
      <c r="S185" s="2"/>
      <c r="U185" s="2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4:38" ht="12.75">
      <c r="D186" s="6"/>
      <c r="G186" s="117"/>
      <c r="R186" s="2"/>
      <c r="S186" s="2"/>
      <c r="U186" s="2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4:38" ht="12.75">
      <c r="D187" s="6"/>
      <c r="G187" s="117"/>
      <c r="R187" s="2"/>
      <c r="S187" s="2"/>
      <c r="U187" s="2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4:38" ht="12.75">
      <c r="D188" s="6"/>
      <c r="G188" s="117"/>
      <c r="R188" s="2"/>
      <c r="S188" s="2"/>
      <c r="U188" s="2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4:38" ht="12.75">
      <c r="D189" s="6"/>
      <c r="G189" s="117"/>
      <c r="R189" s="2"/>
      <c r="S189" s="2"/>
      <c r="U189" s="2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4:38" ht="12.75">
      <c r="D190" s="6"/>
      <c r="G190" s="117"/>
      <c r="R190" s="2"/>
      <c r="S190" s="2"/>
      <c r="U190" s="2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4:38" ht="12.75">
      <c r="D191" s="6"/>
      <c r="G191" s="117"/>
      <c r="R191" s="2"/>
      <c r="S191" s="2"/>
      <c r="U191" s="2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4:38" ht="12.75">
      <c r="D192" s="6"/>
      <c r="G192" s="117"/>
      <c r="R192" s="2"/>
      <c r="S192" s="2"/>
      <c r="U192" s="2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4:38" ht="12.75">
      <c r="D193" s="6"/>
      <c r="G193" s="117"/>
      <c r="R193" s="2"/>
      <c r="S193" s="2"/>
      <c r="U193" s="2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4:38" ht="12.75">
      <c r="D194" s="6"/>
      <c r="G194" s="117"/>
      <c r="R194" s="2"/>
      <c r="S194" s="2"/>
      <c r="U194" s="2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4:38" ht="12.75">
      <c r="D195" s="6"/>
      <c r="G195" s="117"/>
      <c r="R195" s="2"/>
      <c r="S195" s="2"/>
      <c r="U195" s="2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4:38" ht="12.75">
      <c r="D196" s="6"/>
      <c r="G196" s="117"/>
      <c r="R196" s="2"/>
      <c r="S196" s="2"/>
      <c r="U196" s="2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4:38" ht="12.75">
      <c r="D197" s="6"/>
      <c r="G197" s="117"/>
      <c r="R197" s="2"/>
      <c r="S197" s="2"/>
      <c r="U197" s="2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7:38" ht="12.75">
      <c r="G198" s="117"/>
      <c r="R198" s="2"/>
      <c r="S198" s="2"/>
      <c r="U198" s="2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7:38" ht="12.75">
      <c r="G199" s="117"/>
      <c r="R199" s="2"/>
      <c r="S199" s="2"/>
      <c r="U199" s="2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7:38" ht="12.75">
      <c r="G200" s="117"/>
      <c r="R200" s="2"/>
      <c r="S200" s="2"/>
      <c r="U200" s="2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7:38" ht="12.75">
      <c r="G201" s="117"/>
      <c r="R201" s="2"/>
      <c r="S201" s="2"/>
      <c r="U201" s="2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7:38" ht="12.75">
      <c r="G202" s="117"/>
      <c r="R202" s="2"/>
      <c r="S202" s="2"/>
      <c r="U202" s="2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7:38" ht="12.75">
      <c r="G203" s="117"/>
      <c r="R203" s="2"/>
      <c r="S203" s="2"/>
      <c r="U203" s="2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7:38" ht="12.75">
      <c r="G204" s="117"/>
      <c r="R204" s="2"/>
      <c r="S204" s="2"/>
      <c r="U204" s="2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7:38" ht="12.75">
      <c r="G205" s="117"/>
      <c r="R205" s="2"/>
      <c r="S205" s="2"/>
      <c r="U205" s="2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7:38" ht="12.75">
      <c r="G206" s="117"/>
      <c r="R206" s="2"/>
      <c r="S206" s="2"/>
      <c r="U206" s="2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7:38" ht="12.75">
      <c r="G207" s="117"/>
      <c r="R207" s="2"/>
      <c r="S207" s="2"/>
      <c r="U207" s="2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7:38" ht="12.75">
      <c r="G208" s="117"/>
      <c r="R208" s="2"/>
      <c r="S208" s="2"/>
      <c r="U208" s="2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7:38" ht="12.75">
      <c r="G209" s="117"/>
      <c r="R209" s="2"/>
      <c r="S209" s="2"/>
      <c r="U209" s="2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7:38" ht="12.75">
      <c r="G210" s="117"/>
      <c r="R210" s="2"/>
      <c r="S210" s="2"/>
      <c r="U210" s="2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7:38" ht="12.75">
      <c r="G211" s="117"/>
      <c r="R211" s="2"/>
      <c r="S211" s="2"/>
      <c r="U211" s="2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7:38" ht="12.75">
      <c r="G212" s="117"/>
      <c r="R212" s="2"/>
      <c r="S212" s="2"/>
      <c r="U212" s="2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7:38" ht="12.75">
      <c r="G213" s="117"/>
      <c r="R213" s="2"/>
      <c r="S213" s="2"/>
      <c r="U213" s="2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7:38" ht="12.75">
      <c r="G214" s="117"/>
      <c r="R214" s="2"/>
      <c r="S214" s="2"/>
      <c r="U214" s="2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7:38" ht="12.75">
      <c r="G215" s="117"/>
      <c r="R215" s="2"/>
      <c r="S215" s="2"/>
      <c r="U215" s="2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7:38" ht="12.75">
      <c r="G216" s="117"/>
      <c r="R216" s="2"/>
      <c r="S216" s="2"/>
      <c r="U216" s="2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7:38" ht="12.75">
      <c r="G217" s="117"/>
      <c r="R217" s="2"/>
      <c r="S217" s="2"/>
      <c r="U217" s="2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7:38" ht="12.75">
      <c r="G218" s="117"/>
      <c r="R218" s="2"/>
      <c r="S218" s="2"/>
      <c r="U218" s="2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7:38" ht="12.75">
      <c r="G219" s="117"/>
      <c r="R219" s="2"/>
      <c r="S219" s="2"/>
      <c r="U219" s="2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7:38" ht="12.75">
      <c r="G220" s="117"/>
      <c r="R220" s="2"/>
      <c r="S220" s="2"/>
      <c r="U220" s="2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7:38" ht="12.75">
      <c r="G221" s="117"/>
      <c r="R221" s="2"/>
      <c r="S221" s="2"/>
      <c r="U221" s="2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7:38" ht="12.75">
      <c r="G222" s="117"/>
      <c r="R222" s="2"/>
      <c r="S222" s="2"/>
      <c r="U222" s="2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7:38" ht="12.75">
      <c r="G223" s="117"/>
      <c r="R223" s="2"/>
      <c r="S223" s="2"/>
      <c r="U223" s="2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7:38" ht="12.75">
      <c r="G224" s="117"/>
      <c r="R224" s="2"/>
      <c r="S224" s="2"/>
      <c r="U224" s="2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7:38" ht="12.75">
      <c r="G225" s="117"/>
      <c r="R225" s="2"/>
      <c r="S225" s="2"/>
      <c r="U225" s="2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7:38" ht="12.75">
      <c r="G226" s="117"/>
      <c r="R226" s="2"/>
      <c r="S226" s="2"/>
      <c r="U226" s="2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7:38" ht="12.75">
      <c r="G227" s="117"/>
      <c r="R227" s="2"/>
      <c r="S227" s="2"/>
      <c r="U227" s="2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7:38" ht="12.75">
      <c r="G228" s="117"/>
      <c r="R228" s="2"/>
      <c r="S228" s="2"/>
      <c r="U228" s="2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7:38" ht="12.75">
      <c r="G229" s="117"/>
      <c r="R229" s="2"/>
      <c r="S229" s="2"/>
      <c r="U229" s="2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7:38" ht="12.75">
      <c r="G230" s="117"/>
      <c r="R230" s="2"/>
      <c r="S230" s="2"/>
      <c r="U230" s="2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7:38" ht="12.75">
      <c r="G231" s="117"/>
      <c r="R231" s="2"/>
      <c r="S231" s="2"/>
      <c r="U231" s="2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7:38" ht="12.75">
      <c r="G232" s="117"/>
      <c r="R232" s="2"/>
      <c r="S232" s="2"/>
      <c r="U232" s="2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7:38" ht="12.75">
      <c r="G233" s="117"/>
      <c r="R233" s="2"/>
      <c r="S233" s="2"/>
      <c r="U233" s="2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7:38" ht="12.75">
      <c r="G234" s="117"/>
      <c r="R234" s="2"/>
      <c r="S234" s="2"/>
      <c r="U234" s="2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7:38" ht="12.75">
      <c r="G235" s="117"/>
      <c r="R235" s="2"/>
      <c r="S235" s="2"/>
      <c r="U235" s="2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7:38" ht="12.75">
      <c r="G236" s="117"/>
      <c r="R236" s="2"/>
      <c r="S236" s="2"/>
      <c r="U236" s="2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7:38" ht="12.75">
      <c r="G237" s="117"/>
      <c r="R237" s="2"/>
      <c r="S237" s="2"/>
      <c r="U237" s="2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7:38" ht="12.75">
      <c r="G238" s="117"/>
      <c r="R238" s="2"/>
      <c r="S238" s="2"/>
      <c r="U238" s="2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7:38" ht="12.75">
      <c r="G239" s="117"/>
      <c r="R239" s="2"/>
      <c r="S239" s="2"/>
      <c r="U239" s="2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7:38" ht="12.75">
      <c r="G240" s="117"/>
      <c r="R240" s="2"/>
      <c r="S240" s="2"/>
      <c r="U240" s="2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7:38" ht="12.75">
      <c r="G241" s="117"/>
      <c r="R241" s="2"/>
      <c r="S241" s="2"/>
      <c r="U241" s="2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7:38" ht="12.75">
      <c r="G242" s="117"/>
      <c r="R242" s="2"/>
      <c r="S242" s="2"/>
      <c r="U242" s="2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7:38" ht="12.75">
      <c r="G243" s="117"/>
      <c r="R243" s="2"/>
      <c r="S243" s="2"/>
      <c r="U243" s="2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7:38" ht="12.75">
      <c r="G244" s="117"/>
      <c r="R244" s="2"/>
      <c r="S244" s="2"/>
      <c r="U244" s="2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7:38" ht="12.75">
      <c r="G245" s="117"/>
      <c r="R245" s="2"/>
      <c r="S245" s="2"/>
      <c r="U245" s="2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7:38" ht="12.75">
      <c r="G246" s="117"/>
      <c r="R246" s="2"/>
      <c r="S246" s="2"/>
      <c r="U246" s="2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7:38" ht="12.75">
      <c r="G247" s="117"/>
      <c r="R247" s="2"/>
      <c r="S247" s="2"/>
      <c r="U247" s="2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7:38" ht="12.75">
      <c r="G248" s="117"/>
      <c r="R248" s="2"/>
      <c r="S248" s="2"/>
      <c r="U248" s="2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7:38" ht="12.75">
      <c r="G249" s="117"/>
      <c r="R249" s="2"/>
      <c r="S249" s="2"/>
      <c r="U249" s="2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7:38" ht="12.75">
      <c r="G250" s="117"/>
      <c r="R250" s="2"/>
      <c r="S250" s="2"/>
      <c r="U250" s="2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7:38" ht="12.75">
      <c r="G251" s="117"/>
      <c r="R251" s="2"/>
      <c r="S251" s="2"/>
      <c r="U251" s="2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7:38" ht="12.75">
      <c r="G252" s="117"/>
      <c r="R252" s="2"/>
      <c r="S252" s="2"/>
      <c r="U252" s="2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7:38" ht="12.75">
      <c r="G253" s="117"/>
      <c r="R253" s="2"/>
      <c r="S253" s="2"/>
      <c r="U253" s="2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7:38" ht="12.75">
      <c r="G254" s="117"/>
      <c r="R254" s="2"/>
      <c r="S254" s="2"/>
      <c r="U254" s="2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7:38" ht="12.75">
      <c r="G255" s="117"/>
      <c r="R255" s="2"/>
      <c r="S255" s="2"/>
      <c r="U255" s="2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7:38" ht="12.75">
      <c r="G256" s="117"/>
      <c r="R256" s="2"/>
      <c r="S256" s="2"/>
      <c r="U256" s="2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7:38" ht="12.75">
      <c r="G257" s="117"/>
      <c r="R257" s="2"/>
      <c r="S257" s="2"/>
      <c r="U257" s="2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7:38" ht="12.75">
      <c r="G258" s="117"/>
      <c r="R258" s="2"/>
      <c r="S258" s="2"/>
      <c r="U258" s="2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7:38" ht="12.75">
      <c r="G259" s="117"/>
      <c r="R259" s="2"/>
      <c r="S259" s="2"/>
      <c r="U259" s="2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7:38" ht="12.75">
      <c r="G260" s="117"/>
      <c r="R260" s="2"/>
      <c r="S260" s="2"/>
      <c r="U260" s="2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7:38" ht="12.75">
      <c r="G261" s="117"/>
      <c r="R261" s="2"/>
      <c r="S261" s="2"/>
      <c r="U261" s="2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7:38" ht="12.75">
      <c r="G262" s="117"/>
      <c r="R262" s="2"/>
      <c r="S262" s="2"/>
      <c r="U262" s="2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7:38" ht="12.75">
      <c r="G263" s="117"/>
      <c r="R263" s="2"/>
      <c r="S263" s="2"/>
      <c r="U263" s="2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7:38" ht="12.75">
      <c r="G264" s="117"/>
      <c r="R264" s="2"/>
      <c r="S264" s="2"/>
      <c r="U264" s="2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7:38" ht="12.75">
      <c r="G265" s="117"/>
      <c r="R265" s="2"/>
      <c r="S265" s="2"/>
      <c r="U265" s="2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7:38" ht="12.75">
      <c r="G266" s="117"/>
      <c r="R266" s="2"/>
      <c r="S266" s="2"/>
      <c r="U266" s="2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7:38" ht="12.75">
      <c r="G267" s="117"/>
      <c r="R267" s="2"/>
      <c r="S267" s="2"/>
      <c r="U267" s="2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7:38" ht="12.75">
      <c r="G268" s="117"/>
      <c r="R268" s="2"/>
      <c r="S268" s="2"/>
      <c r="U268" s="2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7:38" ht="12.75">
      <c r="G269" s="117"/>
      <c r="R269" s="2"/>
      <c r="S269" s="2"/>
      <c r="U269" s="2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7:38" ht="12.75">
      <c r="G270" s="117"/>
      <c r="R270" s="2"/>
      <c r="S270" s="2"/>
      <c r="U270" s="2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7:38" ht="12.75">
      <c r="G271" s="117"/>
      <c r="R271" s="2"/>
      <c r="S271" s="2"/>
      <c r="U271" s="2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7:38" ht="12.75">
      <c r="G272" s="117"/>
      <c r="R272" s="2"/>
      <c r="S272" s="2"/>
      <c r="U272" s="2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7:38" ht="12.75">
      <c r="G273" s="117"/>
      <c r="R273" s="2"/>
      <c r="S273" s="2"/>
      <c r="U273" s="2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7:38" ht="12.75">
      <c r="G274" s="117"/>
      <c r="R274" s="2"/>
      <c r="S274" s="2"/>
      <c r="U274" s="2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7:38" ht="12.75">
      <c r="G275" s="117"/>
      <c r="R275" s="2"/>
      <c r="S275" s="2"/>
      <c r="U275" s="2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7:38" ht="12.75">
      <c r="G276" s="117"/>
      <c r="R276" s="2"/>
      <c r="S276" s="2"/>
      <c r="U276" s="2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7:38" ht="12.75">
      <c r="G277" s="117"/>
      <c r="R277" s="2"/>
      <c r="S277" s="2"/>
      <c r="U277" s="2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7:38" ht="12.75">
      <c r="G278" s="117"/>
      <c r="R278" s="2"/>
      <c r="S278" s="2"/>
      <c r="U278" s="2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7:38" ht="12.75">
      <c r="G279" s="117"/>
      <c r="R279" s="2"/>
      <c r="S279" s="2"/>
      <c r="U279" s="2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7:38" ht="12.75">
      <c r="G280" s="117"/>
      <c r="R280" s="2"/>
      <c r="S280" s="2"/>
      <c r="U280" s="2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7:38" ht="12.75">
      <c r="G281" s="117"/>
      <c r="R281" s="2"/>
      <c r="S281" s="2"/>
      <c r="U281" s="2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7:38" ht="12.75">
      <c r="G282" s="117"/>
      <c r="R282" s="2"/>
      <c r="S282" s="2"/>
      <c r="U282" s="2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7:38" ht="12.75">
      <c r="G283" s="117"/>
      <c r="R283" s="2"/>
      <c r="S283" s="2"/>
      <c r="U283" s="2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7:38" ht="12.75">
      <c r="G284" s="117"/>
      <c r="R284" s="2"/>
      <c r="S284" s="2"/>
      <c r="U284" s="2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7:38" ht="12.75">
      <c r="G285" s="117"/>
      <c r="R285" s="2"/>
      <c r="S285" s="2"/>
      <c r="U285" s="2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7:38" ht="12.75">
      <c r="G286" s="117"/>
      <c r="R286" s="2"/>
      <c r="S286" s="2"/>
      <c r="U286" s="2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7:38" ht="12.75">
      <c r="G287" s="117"/>
      <c r="R287" s="2"/>
      <c r="S287" s="2"/>
      <c r="U287" s="2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7:38" ht="12.75">
      <c r="G288" s="117"/>
      <c r="R288" s="2"/>
      <c r="S288" s="2"/>
      <c r="U288" s="2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7:38" ht="12.75">
      <c r="G289" s="117"/>
      <c r="R289" s="2"/>
      <c r="S289" s="2"/>
      <c r="U289" s="2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7:38" ht="12.75">
      <c r="G290" s="117"/>
      <c r="R290" s="2"/>
      <c r="S290" s="2"/>
      <c r="U290" s="2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7:38" ht="12.75">
      <c r="G291" s="117"/>
      <c r="R291" s="2"/>
      <c r="S291" s="2"/>
      <c r="U291" s="2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</sheetData>
  <sheetProtection/>
  <mergeCells count="19">
    <mergeCell ref="R2:U2"/>
    <mergeCell ref="V5:W5"/>
    <mergeCell ref="U52:AL52"/>
    <mergeCell ref="E100:E101"/>
    <mergeCell ref="F100:F101"/>
    <mergeCell ref="G100:G101"/>
    <mergeCell ref="J100:J101"/>
    <mergeCell ref="K100:K101"/>
    <mergeCell ref="J97:J98"/>
    <mergeCell ref="I100:I101"/>
    <mergeCell ref="E1:N1"/>
    <mergeCell ref="H100:H101"/>
    <mergeCell ref="K97:K98"/>
    <mergeCell ref="L97:L98"/>
    <mergeCell ref="B53:U53"/>
    <mergeCell ref="F97:F98"/>
    <mergeCell ref="G97:G98"/>
    <mergeCell ref="H97:H98"/>
    <mergeCell ref="I97:I9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0" r:id="rId1"/>
  <rowBreaks count="2" manualBreakCount="2">
    <brk id="25" max="20" man="1"/>
    <brk id="52" max="20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1"/>
  <sheetViews>
    <sheetView tabSelected="1" view="pageBreakPreview" zoomScale="75" zoomScaleSheetLayoutView="75" zoomScalePageLayoutView="0" workbookViewId="0" topLeftCell="A1">
      <selection activeCell="R2" sqref="R2:U2"/>
    </sheetView>
  </sheetViews>
  <sheetFormatPr defaultColWidth="9.140625" defaultRowHeight="12.75"/>
  <cols>
    <col min="1" max="1" width="44.140625" style="0" customWidth="1"/>
    <col min="2" max="2" width="15.8515625" style="0" customWidth="1"/>
    <col min="3" max="3" width="14.8515625" style="0" customWidth="1"/>
    <col min="4" max="4" width="12.8515625" style="0" customWidth="1"/>
    <col min="5" max="5" width="13.421875" style="0" customWidth="1"/>
    <col min="6" max="6" width="12.28125" style="0" customWidth="1"/>
    <col min="7" max="7" width="11.140625" style="0" customWidth="1"/>
    <col min="8" max="8" width="12.00390625" style="0" customWidth="1"/>
    <col min="9" max="9" width="11.00390625" style="0" customWidth="1"/>
    <col min="10" max="10" width="16.7109375" style="0" customWidth="1"/>
    <col min="11" max="11" width="17.57421875" style="0" customWidth="1"/>
    <col min="12" max="12" width="12.140625" style="0" customWidth="1"/>
    <col min="13" max="13" width="11.57421875" style="0" customWidth="1"/>
    <col min="14" max="14" width="12.28125" style="0" customWidth="1"/>
    <col min="15" max="15" width="16.28125" style="0" customWidth="1"/>
    <col min="16" max="16" width="12.140625" style="0" customWidth="1"/>
    <col min="17" max="17" width="11.421875" style="0" customWidth="1"/>
    <col min="18" max="18" width="18.00390625" style="0" customWidth="1"/>
    <col min="19" max="19" width="9.28125" style="0" bestFit="1" customWidth="1"/>
    <col min="20" max="20" width="12.57421875" style="0" customWidth="1"/>
    <col min="21" max="21" width="13.8515625" style="0" customWidth="1"/>
    <col min="22" max="22" width="9.421875" style="0" bestFit="1" customWidth="1"/>
    <col min="23" max="23" width="11.140625" style="0" customWidth="1"/>
    <col min="24" max="24" width="11.28125" style="0" customWidth="1"/>
    <col min="28" max="28" width="9.28125" style="0" bestFit="1" customWidth="1"/>
    <col min="31" max="31" width="9.28125" style="0" bestFit="1" customWidth="1"/>
    <col min="33" max="33" width="9.28125" style="0" bestFit="1" customWidth="1"/>
  </cols>
  <sheetData>
    <row r="1" spans="1:38" ht="20.25">
      <c r="A1" s="41"/>
      <c r="B1" s="4" t="s">
        <v>76</v>
      </c>
      <c r="C1" s="41"/>
      <c r="D1" s="41"/>
      <c r="E1" s="209" t="s">
        <v>37</v>
      </c>
      <c r="F1" s="210"/>
      <c r="G1" s="210"/>
      <c r="H1" s="210"/>
      <c r="I1" s="210"/>
      <c r="J1" s="210"/>
      <c r="K1" s="210"/>
      <c r="L1" s="210"/>
      <c r="M1" s="210"/>
      <c r="N1" s="210"/>
      <c r="O1" s="132"/>
      <c r="P1" s="159"/>
      <c r="Q1" s="132"/>
      <c r="R1" s="133"/>
      <c r="S1" s="133"/>
      <c r="T1" s="133"/>
      <c r="U1" s="4"/>
      <c r="V1" s="4"/>
      <c r="W1" s="5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211" t="s">
        <v>47</v>
      </c>
      <c r="S2" s="211"/>
      <c r="T2" s="211"/>
      <c r="U2" s="211"/>
      <c r="V2" s="4"/>
      <c r="W2" s="5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51">
      <c r="A3" s="14" t="s">
        <v>68</v>
      </c>
      <c r="B3" s="14" t="s">
        <v>69</v>
      </c>
      <c r="C3" s="13" t="s">
        <v>14</v>
      </c>
      <c r="D3" s="13" t="s">
        <v>133</v>
      </c>
      <c r="E3" s="13" t="s">
        <v>67</v>
      </c>
      <c r="F3" s="13" t="s">
        <v>128</v>
      </c>
      <c r="G3" s="112" t="s">
        <v>54</v>
      </c>
      <c r="H3" s="13" t="s">
        <v>77</v>
      </c>
      <c r="I3" s="13" t="s">
        <v>32</v>
      </c>
      <c r="J3" s="13" t="s">
        <v>93</v>
      </c>
      <c r="K3" s="13" t="s">
        <v>94</v>
      </c>
      <c r="L3" s="13" t="s">
        <v>39</v>
      </c>
      <c r="M3" s="202" t="s">
        <v>38</v>
      </c>
      <c r="N3" s="13" t="s">
        <v>73</v>
      </c>
      <c r="O3" s="24" t="s">
        <v>49</v>
      </c>
      <c r="P3" s="13" t="s">
        <v>95</v>
      </c>
      <c r="Q3" s="13" t="s">
        <v>70</v>
      </c>
      <c r="R3" s="13" t="s">
        <v>50</v>
      </c>
      <c r="S3" s="13" t="s">
        <v>135</v>
      </c>
      <c r="T3" s="112" t="s">
        <v>29</v>
      </c>
      <c r="U3" s="13" t="s">
        <v>72</v>
      </c>
      <c r="V3" s="100" t="s">
        <v>122</v>
      </c>
      <c r="W3" s="101"/>
      <c r="X3" s="1"/>
      <c r="Y3" s="10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9" customHeight="1">
      <c r="A4" s="22" t="s">
        <v>123</v>
      </c>
      <c r="B4" s="18" t="s">
        <v>81</v>
      </c>
      <c r="C4" s="28">
        <f>39979.29</f>
        <v>39979.29</v>
      </c>
      <c r="D4" s="28">
        <f>20.16*13</f>
        <v>262.08</v>
      </c>
      <c r="E4" s="28">
        <f>13.94*13</f>
        <v>181.22</v>
      </c>
      <c r="F4" s="28">
        <f>0</f>
        <v>0</v>
      </c>
      <c r="G4" s="28">
        <f>C4/12</f>
        <v>3331.6075</v>
      </c>
      <c r="H4" s="28">
        <f>0</f>
        <v>0</v>
      </c>
      <c r="I4" s="28"/>
      <c r="J4" s="28"/>
      <c r="K4" s="29"/>
      <c r="L4" s="29">
        <f>7837.57</f>
        <v>7837.57</v>
      </c>
      <c r="M4" s="16">
        <f>((C4+D4+E4+F4+G4+L4)/2)*0.1</f>
        <v>2579.5883750000003</v>
      </c>
      <c r="N4" s="28">
        <f>C4+D4+E4+G4+L4</f>
        <v>51591.7675</v>
      </c>
      <c r="O4" s="28">
        <f>N4*0.238</f>
        <v>12278.840665</v>
      </c>
      <c r="P4" s="28">
        <f>N4*0.0288</f>
        <v>1485.842904</v>
      </c>
      <c r="Q4" s="28">
        <v>0</v>
      </c>
      <c r="R4" s="28">
        <f>SUM(O4:Q4)</f>
        <v>13764.683569</v>
      </c>
      <c r="S4" s="20">
        <v>0</v>
      </c>
      <c r="T4" s="28">
        <f>N4*0.085</f>
        <v>4385.300237500001</v>
      </c>
      <c r="U4" s="28">
        <f>+N4+R4+T4</f>
        <v>69741.75130650001</v>
      </c>
      <c r="V4" s="190">
        <f>+(U4+U5)*50%</f>
        <v>46527.47168757188</v>
      </c>
      <c r="W4" s="190"/>
      <c r="X4" s="201" t="s">
        <v>127</v>
      </c>
      <c r="Y4" s="103"/>
      <c r="Z4" s="1"/>
      <c r="AA4" s="1"/>
      <c r="AB4" s="1"/>
      <c r="AC4" s="1"/>
      <c r="AD4" s="1"/>
      <c r="AE4" s="1"/>
      <c r="AF4" s="103"/>
      <c r="AG4" s="42"/>
      <c r="AH4" s="103"/>
      <c r="AI4" s="1"/>
      <c r="AJ4" s="1"/>
      <c r="AK4" s="1"/>
      <c r="AL4" s="1"/>
    </row>
    <row r="5" spans="1:38" ht="40.5" customHeight="1">
      <c r="A5" s="22" t="s">
        <v>42</v>
      </c>
      <c r="B5" s="18" t="s">
        <v>81</v>
      </c>
      <c r="C5" s="28"/>
      <c r="D5" s="28"/>
      <c r="E5" s="28"/>
      <c r="F5" s="28"/>
      <c r="G5" s="28"/>
      <c r="H5" s="28"/>
      <c r="I5" s="28"/>
      <c r="J5" s="28">
        <f>(C4+E4+G4+L4)*0.25+K5*0.25</f>
        <v>12832.421875</v>
      </c>
      <c r="K5" s="28"/>
      <c r="L5" s="28"/>
      <c r="M5" s="28">
        <f>J5/2*0.1</f>
        <v>641.62109375</v>
      </c>
      <c r="N5" s="29">
        <f>M4+J5+K5+M5+M6</f>
        <v>17342.11513125</v>
      </c>
      <c r="O5" s="28">
        <f>N5*0.238</f>
        <v>4127.4234012375</v>
      </c>
      <c r="P5" s="28">
        <f>(+J5+K5)*0.0288</f>
        <v>369.57375</v>
      </c>
      <c r="Q5" s="28">
        <v>0</v>
      </c>
      <c r="R5" s="28">
        <f>SUM(O5:Q5)</f>
        <v>4496.9971512375</v>
      </c>
      <c r="S5" s="20">
        <v>0</v>
      </c>
      <c r="T5" s="28">
        <f>N5*0.085</f>
        <v>1474.07978615625</v>
      </c>
      <c r="U5" s="28">
        <f>+N5+R5+T5</f>
        <v>23313.192068643748</v>
      </c>
      <c r="V5" s="230">
        <f>+U5/2</f>
        <v>11656.596034321874</v>
      </c>
      <c r="W5" s="231"/>
      <c r="X5" s="42"/>
      <c r="Y5" s="1"/>
      <c r="Z5" s="1"/>
      <c r="AA5" s="42"/>
      <c r="AB5" s="1">
        <f>+AA5*50%</f>
        <v>0</v>
      </c>
      <c r="AC5" s="1"/>
      <c r="AD5" s="1"/>
      <c r="AE5" s="1"/>
      <c r="AF5" s="1"/>
      <c r="AG5" s="42"/>
      <c r="AH5" s="1"/>
      <c r="AI5" s="1"/>
      <c r="AJ5" s="1"/>
      <c r="AK5" s="1"/>
      <c r="AL5" s="1"/>
    </row>
    <row r="6" spans="1:38" ht="40.5" customHeight="1">
      <c r="A6" s="22" t="s">
        <v>142</v>
      </c>
      <c r="B6" s="18"/>
      <c r="C6" s="28"/>
      <c r="D6" s="28"/>
      <c r="E6" s="28"/>
      <c r="F6" s="28"/>
      <c r="G6" s="28"/>
      <c r="H6" s="28"/>
      <c r="I6" s="28"/>
      <c r="J6" s="28"/>
      <c r="K6" s="29"/>
      <c r="L6" s="29"/>
      <c r="M6" s="28">
        <f>N6*0.1</f>
        <v>1288.4837875000003</v>
      </c>
      <c r="N6" s="16">
        <f>(C4+D4+E4+G4+J5+K5+L4)/5</f>
        <v>12884.837875000001</v>
      </c>
      <c r="O6" s="28">
        <f>+N6*23.8%</f>
        <v>3066.5914142500005</v>
      </c>
      <c r="P6" s="28">
        <v>0</v>
      </c>
      <c r="Q6" s="28">
        <v>0</v>
      </c>
      <c r="R6" s="28">
        <f>+O6+P6+Q6</f>
        <v>3066.5914142500005</v>
      </c>
      <c r="S6" s="20"/>
      <c r="T6" s="28">
        <f>N6*0.085</f>
        <v>1095.2112193750002</v>
      </c>
      <c r="U6" s="28">
        <f>+N6+R6+T6</f>
        <v>17046.640508625</v>
      </c>
      <c r="V6" s="200" t="s">
        <v>36</v>
      </c>
      <c r="W6" s="191"/>
      <c r="X6" s="42"/>
      <c r="Y6" s="1"/>
      <c r="Z6" s="1"/>
      <c r="AA6" s="42"/>
      <c r="AB6" s="1"/>
      <c r="AC6" s="1"/>
      <c r="AD6" s="1"/>
      <c r="AE6" s="1"/>
      <c r="AF6" s="1"/>
      <c r="AG6" s="42"/>
      <c r="AH6" s="1"/>
      <c r="AI6" s="1"/>
      <c r="AJ6" s="1"/>
      <c r="AK6" s="1"/>
      <c r="AL6" s="1"/>
    </row>
    <row r="7" spans="1:38" ht="41.25" customHeight="1">
      <c r="A7" s="19" t="s">
        <v>103</v>
      </c>
      <c r="B7" s="12" t="s">
        <v>79</v>
      </c>
      <c r="C7" s="15">
        <f>22203.89</f>
        <v>22203.89</v>
      </c>
      <c r="D7" s="141">
        <f>13.88*13</f>
        <v>180.44</v>
      </c>
      <c r="E7" s="15">
        <v>0</v>
      </c>
      <c r="F7" s="15">
        <v>0</v>
      </c>
      <c r="G7" s="195">
        <f>C7/12</f>
        <v>1850.3241666666665</v>
      </c>
      <c r="H7" s="15">
        <f>51.9*12</f>
        <v>622.8</v>
      </c>
      <c r="I7" s="15"/>
      <c r="J7" s="15"/>
      <c r="K7" s="15"/>
      <c r="L7" s="15"/>
      <c r="M7" s="15"/>
      <c r="N7" s="15">
        <f>SUM(C7:M7)</f>
        <v>24857.454166666663</v>
      </c>
      <c r="O7" s="15">
        <f aca="true" t="shared" si="0" ref="O7:O30">N7*0.238</f>
        <v>5916.0740916666655</v>
      </c>
      <c r="P7" s="15">
        <f>SUM(C7:G7)*0.8*0.061</f>
        <v>1182.651123333333</v>
      </c>
      <c r="Q7" s="195">
        <f aca="true" t="shared" si="1" ref="Q7:Q18">N7*0.00505-N7*0.00505*15.38%</f>
        <v>106.22360746495832</v>
      </c>
      <c r="R7" s="15">
        <f>SUM(O7:Q7)</f>
        <v>7204.948822464957</v>
      </c>
      <c r="S7" s="20">
        <v>0</v>
      </c>
      <c r="T7" s="15">
        <f>N7*0.085</f>
        <v>2112.8836041666664</v>
      </c>
      <c r="U7" s="15">
        <f aca="true" t="shared" si="2" ref="U7:U30">N7+R7+T7</f>
        <v>34175.28659329829</v>
      </c>
      <c r="V7" s="43"/>
      <c r="W7" s="43"/>
      <c r="X7" s="53"/>
      <c r="Y7" s="3"/>
      <c r="Z7" s="3"/>
      <c r="AA7" s="3"/>
      <c r="AB7" s="3"/>
      <c r="AC7" s="3"/>
      <c r="AD7" s="3"/>
      <c r="AE7" s="3"/>
      <c r="AF7" s="3"/>
      <c r="AG7" s="53" t="e">
        <f>+#REF!-#REF!</f>
        <v>#REF!</v>
      </c>
      <c r="AH7" s="3"/>
      <c r="AI7" s="3"/>
      <c r="AJ7" s="3"/>
      <c r="AK7" s="3"/>
      <c r="AL7" s="3"/>
    </row>
    <row r="8" spans="1:38" ht="46.5" customHeight="1">
      <c r="A8" s="45" t="s">
        <v>86</v>
      </c>
      <c r="B8" s="50" t="s">
        <v>79</v>
      </c>
      <c r="C8" s="48"/>
      <c r="D8" s="3"/>
      <c r="E8" s="48"/>
      <c r="F8" s="48"/>
      <c r="G8" s="113"/>
      <c r="H8" s="48"/>
      <c r="I8" s="48"/>
      <c r="J8" s="48"/>
      <c r="K8" s="48"/>
      <c r="L8" s="48">
        <f>(6400+(6400*25%))</f>
        <v>8000</v>
      </c>
      <c r="M8" s="48"/>
      <c r="N8" s="48">
        <f>L8</f>
        <v>8000</v>
      </c>
      <c r="O8" s="48">
        <f t="shared" si="0"/>
        <v>1904</v>
      </c>
      <c r="P8" s="48">
        <f>6400*0.8*0.061</f>
        <v>312.32</v>
      </c>
      <c r="Q8" s="48">
        <f t="shared" si="1"/>
        <v>34.186479999999996</v>
      </c>
      <c r="R8" s="48">
        <f>O8+P8+Q8</f>
        <v>2250.50648</v>
      </c>
      <c r="S8" s="20">
        <v>0</v>
      </c>
      <c r="T8" s="48">
        <f>L8*0.085</f>
        <v>680</v>
      </c>
      <c r="U8" s="48">
        <f t="shared" si="2"/>
        <v>10930.50648</v>
      </c>
      <c r="V8" s="43"/>
      <c r="W8" s="192">
        <f>0.085*100</f>
        <v>8.5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9.25" customHeight="1">
      <c r="A9" s="12" t="s">
        <v>56</v>
      </c>
      <c r="B9" s="12" t="s">
        <v>75</v>
      </c>
      <c r="C9" s="15">
        <f>19917.86</f>
        <v>19917.86</v>
      </c>
      <c r="D9" s="141">
        <f>12.45*13</f>
        <v>161.85</v>
      </c>
      <c r="E9" s="15">
        <v>0</v>
      </c>
      <c r="F9" s="15">
        <v>0</v>
      </c>
      <c r="G9" s="195">
        <f>C9/12</f>
        <v>1659.8216666666667</v>
      </c>
      <c r="H9" s="15">
        <f>45.8*12</f>
        <v>549.5999999999999</v>
      </c>
      <c r="I9" s="15"/>
      <c r="J9" s="15"/>
      <c r="K9" s="15"/>
      <c r="L9" s="15"/>
      <c r="M9" s="15"/>
      <c r="N9" s="15">
        <f aca="true" t="shared" si="3" ref="N9:N14">SUM(C9:M9)</f>
        <v>22289.131666666664</v>
      </c>
      <c r="O9" s="15">
        <f t="shared" si="0"/>
        <v>5304.813336666666</v>
      </c>
      <c r="P9" s="15">
        <f>SUM(C9:G9)*0.8*0.036</f>
        <v>626.0985119999999</v>
      </c>
      <c r="Q9" s="195">
        <f t="shared" si="1"/>
        <v>95.24836924248332</v>
      </c>
      <c r="R9" s="15">
        <f>SUM(O9:Q9)</f>
        <v>6026.160217909149</v>
      </c>
      <c r="S9" s="20">
        <v>0</v>
      </c>
      <c r="T9" s="15">
        <f aca="true" t="shared" si="4" ref="T9:T14">N9*0.085</f>
        <v>1894.5761916666665</v>
      </c>
      <c r="U9" s="15">
        <f t="shared" si="2"/>
        <v>30209.86807624248</v>
      </c>
      <c r="V9" s="111"/>
      <c r="W9" s="111">
        <f>0.0255*100</f>
        <v>2.55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53.25" customHeight="1">
      <c r="A10" s="19" t="s">
        <v>91</v>
      </c>
      <c r="B10" s="12" t="s">
        <v>57</v>
      </c>
      <c r="C10" s="15">
        <f>18229.92</f>
        <v>18229.92</v>
      </c>
      <c r="D10" s="141">
        <f>11.39*13</f>
        <v>148.07</v>
      </c>
      <c r="E10" s="15">
        <v>0</v>
      </c>
      <c r="F10" s="15">
        <v>0</v>
      </c>
      <c r="G10" s="195">
        <f>C10/12</f>
        <v>1519.1599999999999</v>
      </c>
      <c r="H10" s="15">
        <f>45.8*12</f>
        <v>549.5999999999999</v>
      </c>
      <c r="I10" s="15"/>
      <c r="J10" s="15"/>
      <c r="K10" s="15"/>
      <c r="L10" s="15"/>
      <c r="M10" s="15"/>
      <c r="N10" s="15">
        <f t="shared" si="3"/>
        <v>20446.749999999996</v>
      </c>
      <c r="O10" s="15">
        <f t="shared" si="0"/>
        <v>4866.326499999999</v>
      </c>
      <c r="P10" s="15">
        <f>SUM(C10:G10)*0.8*0.061</f>
        <v>970.98092</v>
      </c>
      <c r="Q10" s="195">
        <f t="shared" si="1"/>
        <v>87.37530124249997</v>
      </c>
      <c r="R10" s="15">
        <f>SUM(O10:Q10)</f>
        <v>5924.6827212425</v>
      </c>
      <c r="S10" s="20">
        <v>0</v>
      </c>
      <c r="T10" s="15">
        <f t="shared" si="4"/>
        <v>1737.9737499999999</v>
      </c>
      <c r="U10" s="15">
        <f t="shared" si="2"/>
        <v>28109.4064712425</v>
      </c>
      <c r="V10" s="134"/>
      <c r="W10" s="9"/>
      <c r="X10" s="9"/>
      <c r="Y10" s="9"/>
      <c r="Z10" s="9"/>
      <c r="AA10" s="9"/>
      <c r="AB10" s="9"/>
      <c r="AC10" s="9"/>
      <c r="AD10" s="9"/>
      <c r="AE10" s="9">
        <f>15584.45-18592.45</f>
        <v>-3008</v>
      </c>
      <c r="AF10" s="9"/>
      <c r="AG10" s="9"/>
      <c r="AH10" s="9"/>
      <c r="AI10" s="9"/>
      <c r="AJ10" s="9"/>
      <c r="AK10" s="9"/>
      <c r="AL10" s="9"/>
    </row>
    <row r="11" spans="1:38" ht="39" customHeight="1">
      <c r="A11" s="197" t="s">
        <v>31</v>
      </c>
      <c r="B11" s="12" t="s">
        <v>62</v>
      </c>
      <c r="C11" s="15">
        <v>0</v>
      </c>
      <c r="D11" s="141">
        <v>0</v>
      </c>
      <c r="E11" s="15">
        <v>0</v>
      </c>
      <c r="F11" s="15">
        <v>0</v>
      </c>
      <c r="G11" s="195">
        <f>(C11+D11+E11+F11)/12</f>
        <v>0</v>
      </c>
      <c r="H11" s="15">
        <v>0</v>
      </c>
      <c r="I11" s="15"/>
      <c r="J11" s="15"/>
      <c r="K11" s="15"/>
      <c r="L11" s="15"/>
      <c r="M11" s="15"/>
      <c r="N11" s="15">
        <f t="shared" si="3"/>
        <v>0</v>
      </c>
      <c r="O11" s="15">
        <f t="shared" si="0"/>
        <v>0</v>
      </c>
      <c r="P11" s="15">
        <f>SUM(C11:G11)*0.8*0.036</f>
        <v>0</v>
      </c>
      <c r="Q11" s="195">
        <f t="shared" si="1"/>
        <v>0</v>
      </c>
      <c r="R11" s="15">
        <f>SUM(O11:Q11)</f>
        <v>0</v>
      </c>
      <c r="S11" s="20">
        <v>0</v>
      </c>
      <c r="T11" s="15">
        <f t="shared" si="4"/>
        <v>0</v>
      </c>
      <c r="U11" s="15">
        <f t="shared" si="2"/>
        <v>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33" customHeight="1">
      <c r="A12" s="13" t="s">
        <v>65</v>
      </c>
      <c r="B12" s="14" t="s">
        <v>62</v>
      </c>
      <c r="C12" s="20">
        <f>18496.61</f>
        <v>18496.61</v>
      </c>
      <c r="D12" s="144">
        <f>11.56*13</f>
        <v>150.28</v>
      </c>
      <c r="E12" s="15">
        <v>0</v>
      </c>
      <c r="F12" s="20">
        <f>4.61*13</f>
        <v>59.93000000000001</v>
      </c>
      <c r="G12" s="195">
        <f>C12/12</f>
        <v>1541.3841666666667</v>
      </c>
      <c r="H12" s="15">
        <f>39.31*12</f>
        <v>471.72</v>
      </c>
      <c r="I12" s="20"/>
      <c r="J12" s="20"/>
      <c r="K12" s="20"/>
      <c r="L12" s="15"/>
      <c r="M12" s="15"/>
      <c r="N12" s="15">
        <f t="shared" si="3"/>
        <v>20719.924166666668</v>
      </c>
      <c r="O12" s="20">
        <f t="shared" si="0"/>
        <v>4931.341951666666</v>
      </c>
      <c r="P12" s="20">
        <f>SUM(C12:G12)*0.8*0.036</f>
        <v>583.14828</v>
      </c>
      <c r="Q12" s="195">
        <f t="shared" si="1"/>
        <v>88.54265914065833</v>
      </c>
      <c r="R12" s="20">
        <f aca="true" t="shared" si="5" ref="R12:R30">O12+P12+Q12</f>
        <v>5603.032890807325</v>
      </c>
      <c r="S12" s="20">
        <v>0</v>
      </c>
      <c r="T12" s="15">
        <f t="shared" si="4"/>
        <v>1761.193554166667</v>
      </c>
      <c r="U12" s="15">
        <f t="shared" si="2"/>
        <v>28084.15061164066</v>
      </c>
      <c r="V12" s="9"/>
      <c r="W12" s="104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43.5" customHeight="1">
      <c r="A13" s="19" t="s">
        <v>132</v>
      </c>
      <c r="B13" s="19" t="s">
        <v>74</v>
      </c>
      <c r="C13" s="137">
        <f>19454.15/36*32</f>
        <v>17292.57777777778</v>
      </c>
      <c r="D13" s="141">
        <f>12.16*13</f>
        <v>158.08</v>
      </c>
      <c r="E13" s="138">
        <v>0</v>
      </c>
      <c r="F13" s="138">
        <v>0</v>
      </c>
      <c r="G13" s="195">
        <f>C13/12</f>
        <v>1441.0481481481484</v>
      </c>
      <c r="H13" s="17">
        <f>(45.08*12)/36*32</f>
        <v>480.85333333333335</v>
      </c>
      <c r="I13" s="17"/>
      <c r="J13" s="17"/>
      <c r="K13" s="17"/>
      <c r="L13" s="15"/>
      <c r="M13" s="15"/>
      <c r="N13" s="15">
        <f t="shared" si="3"/>
        <v>19372.559259259262</v>
      </c>
      <c r="O13" s="17">
        <f t="shared" si="0"/>
        <v>4610.669103703704</v>
      </c>
      <c r="P13" s="17">
        <f>SUM(C13:G13)*0.8*0.061</f>
        <v>921.9152491851854</v>
      </c>
      <c r="Q13" s="195">
        <f t="shared" si="1"/>
        <v>82.78495120818519</v>
      </c>
      <c r="R13" s="83">
        <f t="shared" si="5"/>
        <v>5615.369304097075</v>
      </c>
      <c r="S13" s="83">
        <v>0</v>
      </c>
      <c r="T13" s="15">
        <f t="shared" si="4"/>
        <v>1646.6675370370374</v>
      </c>
      <c r="U13" s="15">
        <f t="shared" si="2"/>
        <v>26634.596100393373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46.5" customHeight="1">
      <c r="A14" s="13" t="s">
        <v>82</v>
      </c>
      <c r="B14" s="14" t="s">
        <v>80</v>
      </c>
      <c r="C14" s="20">
        <f>17531.61</f>
        <v>17531.61</v>
      </c>
      <c r="D14" s="141">
        <f>10.96*13</f>
        <v>142.48000000000002</v>
      </c>
      <c r="E14" s="15">
        <v>0</v>
      </c>
      <c r="F14" s="15">
        <v>0</v>
      </c>
      <c r="G14" s="195">
        <f>C14/12</f>
        <v>1460.9675</v>
      </c>
      <c r="H14" s="15">
        <f>39.31*12</f>
        <v>471.72</v>
      </c>
      <c r="I14" s="20"/>
      <c r="J14" s="20"/>
      <c r="K14" s="20"/>
      <c r="L14" s="15"/>
      <c r="M14" s="15"/>
      <c r="N14" s="15">
        <f t="shared" si="3"/>
        <v>19606.7775</v>
      </c>
      <c r="O14" s="20">
        <f t="shared" si="0"/>
        <v>4666.413045</v>
      </c>
      <c r="P14" s="20">
        <f>SUM(C14:G14)*0.8*0.061</f>
        <v>933.790806</v>
      </c>
      <c r="Q14" s="195">
        <f t="shared" si="1"/>
        <v>83.78583835852498</v>
      </c>
      <c r="R14" s="20">
        <f t="shared" si="5"/>
        <v>5683.9896893585255</v>
      </c>
      <c r="S14" s="20">
        <v>0</v>
      </c>
      <c r="T14" s="15">
        <f t="shared" si="4"/>
        <v>1666.5760875</v>
      </c>
      <c r="U14" s="15">
        <f t="shared" si="2"/>
        <v>26957.343276858526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37.5" customHeight="1">
      <c r="A15" s="45" t="s">
        <v>97</v>
      </c>
      <c r="B15" s="12"/>
      <c r="C15" s="15"/>
      <c r="D15" s="15"/>
      <c r="E15" s="15"/>
      <c r="F15" s="15"/>
      <c r="G15" s="196"/>
      <c r="H15" s="15"/>
      <c r="I15" s="15"/>
      <c r="J15" s="15"/>
      <c r="K15" s="15"/>
      <c r="L15" s="48">
        <f>(6400+(6400*25%))</f>
        <v>8000</v>
      </c>
      <c r="M15" s="48"/>
      <c r="N15" s="48">
        <f>L15</f>
        <v>8000</v>
      </c>
      <c r="O15" s="48">
        <f t="shared" si="0"/>
        <v>1904</v>
      </c>
      <c r="P15" s="48">
        <f>6400*0.8*0.061</f>
        <v>312.32</v>
      </c>
      <c r="Q15" s="48">
        <f t="shared" si="1"/>
        <v>34.186479999999996</v>
      </c>
      <c r="R15" s="48">
        <f t="shared" si="5"/>
        <v>2250.50648</v>
      </c>
      <c r="S15" s="48">
        <v>0</v>
      </c>
      <c r="T15" s="48">
        <f>L15*0.085</f>
        <v>680</v>
      </c>
      <c r="U15" s="48">
        <f t="shared" si="2"/>
        <v>10930.50648</v>
      </c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9"/>
    </row>
    <row r="16" spans="1:38" ht="36" customHeight="1">
      <c r="A16" s="19" t="s">
        <v>102</v>
      </c>
      <c r="B16" s="12" t="s">
        <v>71</v>
      </c>
      <c r="C16" s="15">
        <f>21166.71</f>
        <v>21166.71</v>
      </c>
      <c r="D16" s="83">
        <f>13.23*13</f>
        <v>171.99</v>
      </c>
      <c r="E16" s="15">
        <v>0</v>
      </c>
      <c r="F16" s="15">
        <v>0</v>
      </c>
      <c r="G16" s="195">
        <f>C16/12</f>
        <v>1763.8925</v>
      </c>
      <c r="H16" s="15">
        <f>51.9*12</f>
        <v>622.8</v>
      </c>
      <c r="I16" s="15"/>
      <c r="J16" s="15"/>
      <c r="K16" s="15"/>
      <c r="L16" s="15"/>
      <c r="M16" s="15"/>
      <c r="N16" s="15">
        <f>SUM(C16:M16)</f>
        <v>23725.392499999998</v>
      </c>
      <c r="O16" s="15">
        <f t="shared" si="0"/>
        <v>5646.643415</v>
      </c>
      <c r="P16" s="15">
        <f>SUM(C16:G16)*0.8*0.061</f>
        <v>1127.406514</v>
      </c>
      <c r="Q16" s="195">
        <f t="shared" si="1"/>
        <v>101.38595702417499</v>
      </c>
      <c r="R16" s="20">
        <f t="shared" si="5"/>
        <v>6875.435886024175</v>
      </c>
      <c r="S16" s="20">
        <v>0</v>
      </c>
      <c r="T16" s="15">
        <f>N16*0.085</f>
        <v>2016.6583625</v>
      </c>
      <c r="U16" s="15">
        <f t="shared" si="2"/>
        <v>32617.48674852417</v>
      </c>
      <c r="V16" s="9"/>
      <c r="W16" s="9"/>
      <c r="X16" s="9"/>
      <c r="Y16" s="104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39.75" customHeight="1">
      <c r="A17" s="12" t="s">
        <v>58</v>
      </c>
      <c r="B17" s="12" t="s">
        <v>62</v>
      </c>
      <c r="C17" s="15">
        <f>18496.61</f>
        <v>18496.61</v>
      </c>
      <c r="D17" s="83">
        <f>11.56*13</f>
        <v>150.28</v>
      </c>
      <c r="E17" s="15">
        <f>13.88*13</f>
        <v>180.44</v>
      </c>
      <c r="F17" s="15">
        <f>4.61*13</f>
        <v>59.93000000000001</v>
      </c>
      <c r="G17" s="195">
        <f>C17/12</f>
        <v>1541.3841666666667</v>
      </c>
      <c r="H17" s="15">
        <f>39.31*12</f>
        <v>471.72</v>
      </c>
      <c r="I17" s="15"/>
      <c r="J17" s="15"/>
      <c r="K17" s="15"/>
      <c r="L17" s="15"/>
      <c r="M17" s="15"/>
      <c r="N17" s="15">
        <f>SUM(C17:M17)</f>
        <v>20900.364166666666</v>
      </c>
      <c r="O17" s="15">
        <f t="shared" si="0"/>
        <v>4974.286671666667</v>
      </c>
      <c r="P17" s="15">
        <f>SUM(C17:G17)*0.8*0.036</f>
        <v>588.3449519999999</v>
      </c>
      <c r="Q17" s="195">
        <f t="shared" si="1"/>
        <v>89.31373519705832</v>
      </c>
      <c r="R17" s="20">
        <f t="shared" si="5"/>
        <v>5651.945358863724</v>
      </c>
      <c r="S17" s="20">
        <v>0</v>
      </c>
      <c r="T17" s="15">
        <f>N17*0.085</f>
        <v>1776.5309541666668</v>
      </c>
      <c r="U17" s="15">
        <f t="shared" si="2"/>
        <v>28328.84047969706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27" customHeight="1">
      <c r="A18" s="19" t="s">
        <v>131</v>
      </c>
      <c r="B18" s="12" t="s">
        <v>90</v>
      </c>
      <c r="C18" s="15">
        <f>21901.32</f>
        <v>21901.32</v>
      </c>
      <c r="D18" s="141">
        <f>13.69*13</f>
        <v>177.97</v>
      </c>
      <c r="E18" s="15">
        <v>0</v>
      </c>
      <c r="F18" s="15">
        <v>0</v>
      </c>
      <c r="G18" s="195">
        <f>C18/12</f>
        <v>1825.11</v>
      </c>
      <c r="H18" s="15">
        <f>45.8*12</f>
        <v>549.5999999999999</v>
      </c>
      <c r="I18" s="15"/>
      <c r="J18" s="15"/>
      <c r="K18" s="15"/>
      <c r="L18" s="15"/>
      <c r="M18" s="15"/>
      <c r="N18" s="15">
        <f>SUM(C18:M18)</f>
        <v>24454</v>
      </c>
      <c r="O18" s="15">
        <f t="shared" si="0"/>
        <v>5820.052</v>
      </c>
      <c r="P18" s="15">
        <f>SUM(C18:G18)*0.8*0.061</f>
        <v>1166.53472</v>
      </c>
      <c r="Q18" s="195">
        <f t="shared" si="1"/>
        <v>104.49952274</v>
      </c>
      <c r="R18" s="20">
        <f t="shared" si="5"/>
        <v>7091.08624274</v>
      </c>
      <c r="S18" s="20"/>
      <c r="T18" s="15">
        <f>N18*0.085</f>
        <v>2078.59</v>
      </c>
      <c r="U18" s="15">
        <f t="shared" si="2"/>
        <v>33623.676242739995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27" customHeight="1">
      <c r="A19" s="13" t="s">
        <v>61</v>
      </c>
      <c r="B19" s="14" t="s">
        <v>74</v>
      </c>
      <c r="C19" s="21">
        <f>19454.15</f>
        <v>19454.15</v>
      </c>
      <c r="D19" s="141">
        <f>12.16*13</f>
        <v>158.08</v>
      </c>
      <c r="E19" s="15">
        <v>0</v>
      </c>
      <c r="F19" s="15">
        <v>0</v>
      </c>
      <c r="G19" s="195">
        <f>C19/12</f>
        <v>1621.1791666666668</v>
      </c>
      <c r="H19" s="15">
        <f>45.8*12</f>
        <v>549.5999999999999</v>
      </c>
      <c r="I19" s="21"/>
      <c r="J19" s="21"/>
      <c r="K19" s="21"/>
      <c r="L19" s="15"/>
      <c r="M19" s="15"/>
      <c r="N19" s="15">
        <f>SUM(C19:M19)</f>
        <v>21783.00916666667</v>
      </c>
      <c r="O19" s="15">
        <f t="shared" si="0"/>
        <v>5184.356181666667</v>
      </c>
      <c r="P19" s="20">
        <f>SUM(C19:G19)*0.8*0.061</f>
        <v>1036.1903673333336</v>
      </c>
      <c r="Q19" s="198">
        <f>N19*0.03434</f>
        <v>748.0285347833335</v>
      </c>
      <c r="R19" s="20">
        <f t="shared" si="5"/>
        <v>6968.575083783334</v>
      </c>
      <c r="S19" s="20">
        <v>0</v>
      </c>
      <c r="T19" s="17">
        <f>N19*0.085</f>
        <v>1851.5557791666672</v>
      </c>
      <c r="U19" s="15">
        <f t="shared" si="2"/>
        <v>30603.140029616672</v>
      </c>
      <c r="V19" s="9"/>
      <c r="W19" s="9"/>
      <c r="X19" s="9"/>
      <c r="Y19" s="9"/>
      <c r="Z19" s="104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44.25" customHeight="1">
      <c r="A20" s="45" t="s">
        <v>100</v>
      </c>
      <c r="B20" s="46"/>
      <c r="C20" s="47"/>
      <c r="D20" s="141"/>
      <c r="E20" s="48"/>
      <c r="F20" s="47"/>
      <c r="G20" s="113"/>
      <c r="H20" s="48"/>
      <c r="I20" s="49"/>
      <c r="J20" s="49"/>
      <c r="K20" s="49"/>
      <c r="L20" s="48">
        <f>(9500+(9500*25%))</f>
        <v>11875</v>
      </c>
      <c r="M20" s="48"/>
      <c r="N20" s="48">
        <f>L20</f>
        <v>11875</v>
      </c>
      <c r="O20" s="48">
        <f t="shared" si="0"/>
        <v>2826.25</v>
      </c>
      <c r="P20" s="48">
        <f>9500*0.8*0.061</f>
        <v>463.59999999999997</v>
      </c>
      <c r="Q20" s="48">
        <f>L20*0.03434</f>
        <v>407.7875</v>
      </c>
      <c r="R20" s="48">
        <f t="shared" si="5"/>
        <v>3697.6375</v>
      </c>
      <c r="S20" s="20">
        <v>0</v>
      </c>
      <c r="T20" s="48">
        <f>L20*0.085</f>
        <v>1009.3750000000001</v>
      </c>
      <c r="U20" s="48">
        <f t="shared" si="2"/>
        <v>16582.0125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34.5" customHeight="1">
      <c r="A21" s="13" t="s">
        <v>52</v>
      </c>
      <c r="B21" s="14" t="s">
        <v>71</v>
      </c>
      <c r="C21" s="15">
        <f>21166.71</f>
        <v>21166.71</v>
      </c>
      <c r="D21" s="141">
        <f>13.23*13</f>
        <v>171.99</v>
      </c>
      <c r="E21" s="15">
        <v>0</v>
      </c>
      <c r="F21" s="15">
        <v>0</v>
      </c>
      <c r="G21" s="195">
        <f aca="true" t="shared" si="6" ref="G21:G30">C21/12</f>
        <v>1763.8925</v>
      </c>
      <c r="H21" s="15">
        <f>51.9*12</f>
        <v>622.8</v>
      </c>
      <c r="I21" s="21"/>
      <c r="J21" s="21"/>
      <c r="K21" s="21"/>
      <c r="L21" s="15"/>
      <c r="M21" s="15"/>
      <c r="N21" s="15">
        <f aca="true" t="shared" si="7" ref="N21:N29">SUM(C21:M21)</f>
        <v>23725.392499999998</v>
      </c>
      <c r="O21" s="17">
        <f t="shared" si="0"/>
        <v>5646.643415</v>
      </c>
      <c r="P21" s="20">
        <f>SUM(C21:G21)*0.8*0.061</f>
        <v>1127.406514</v>
      </c>
      <c r="Q21" s="17">
        <f>N21*0.03434</f>
        <v>814.72997845</v>
      </c>
      <c r="R21" s="20">
        <f t="shared" si="5"/>
        <v>7588.77990745</v>
      </c>
      <c r="S21" s="20">
        <v>0</v>
      </c>
      <c r="T21" s="17">
        <f>N21*0.085</f>
        <v>2016.6583625</v>
      </c>
      <c r="U21" s="15">
        <f t="shared" si="2"/>
        <v>33330.83076995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30" customHeight="1">
      <c r="A22" s="14" t="s">
        <v>59</v>
      </c>
      <c r="B22" s="14" t="s">
        <v>92</v>
      </c>
      <c r="C22" s="20">
        <f>20472.62</f>
        <v>20472.62</v>
      </c>
      <c r="D22" s="137">
        <f>12.8*13</f>
        <v>166.4</v>
      </c>
      <c r="E22" s="15">
        <v>0</v>
      </c>
      <c r="F22" s="15">
        <v>0</v>
      </c>
      <c r="G22" s="195">
        <f t="shared" si="6"/>
        <v>1706.0516666666665</v>
      </c>
      <c r="H22" s="15">
        <f>45.8*12</f>
        <v>549.5999999999999</v>
      </c>
      <c r="I22" s="20"/>
      <c r="J22" s="20"/>
      <c r="K22" s="20"/>
      <c r="L22" s="15"/>
      <c r="M22" s="15"/>
      <c r="N22" s="15">
        <f t="shared" si="7"/>
        <v>22894.671666666665</v>
      </c>
      <c r="O22" s="20">
        <f t="shared" si="0"/>
        <v>5448.931856666666</v>
      </c>
      <c r="P22" s="20">
        <f>SUM(C22:G22)*0.8*0.036</f>
        <v>643.538064</v>
      </c>
      <c r="Q22" s="17">
        <f>N22*0.03434</f>
        <v>786.2030250333333</v>
      </c>
      <c r="R22" s="20">
        <f t="shared" si="5"/>
        <v>6878.6729457</v>
      </c>
      <c r="S22" s="20">
        <v>0</v>
      </c>
      <c r="T22" s="17">
        <f>N22*0.085</f>
        <v>1946.0470916666666</v>
      </c>
      <c r="U22" s="15">
        <f t="shared" si="2"/>
        <v>31719.391704033333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53.25" customHeight="1">
      <c r="A23" s="59" t="s">
        <v>0</v>
      </c>
      <c r="B23" s="65" t="s">
        <v>75</v>
      </c>
      <c r="C23" s="61">
        <f>19917.86</f>
        <v>19917.86</v>
      </c>
      <c r="D23" s="157">
        <f>12.45*13</f>
        <v>161.85</v>
      </c>
      <c r="E23" s="60">
        <v>0</v>
      </c>
      <c r="F23" s="60">
        <v>0</v>
      </c>
      <c r="G23" s="60">
        <f t="shared" si="6"/>
        <v>1659.8216666666667</v>
      </c>
      <c r="H23" s="60">
        <f>45.8*12</f>
        <v>549.5999999999999</v>
      </c>
      <c r="I23" s="61"/>
      <c r="J23" s="61"/>
      <c r="K23" s="61"/>
      <c r="L23" s="60"/>
      <c r="M23" s="60"/>
      <c r="N23" s="60">
        <f t="shared" si="7"/>
        <v>22289.131666666664</v>
      </c>
      <c r="O23" s="61">
        <f t="shared" si="0"/>
        <v>5304.813336666666</v>
      </c>
      <c r="P23" s="61">
        <f>SUM(C23:G23)*0.8*0.061</f>
        <v>1060.8891453333333</v>
      </c>
      <c r="Q23" s="160">
        <f>N23*0.03434</f>
        <v>765.4087814333333</v>
      </c>
      <c r="R23" s="61">
        <f t="shared" si="5"/>
        <v>7131.111263433333</v>
      </c>
      <c r="S23" s="61">
        <v>0</v>
      </c>
      <c r="T23" s="160">
        <v>0</v>
      </c>
      <c r="U23" s="60">
        <f t="shared" si="2"/>
        <v>29420.242930099997</v>
      </c>
      <c r="V23" s="9"/>
      <c r="W23" s="9"/>
      <c r="X23" s="9"/>
      <c r="Y23" s="9"/>
      <c r="Z23" s="9"/>
      <c r="AA23" s="9"/>
      <c r="AB23" s="130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38.25" customHeight="1">
      <c r="A24" s="19" t="s">
        <v>24</v>
      </c>
      <c r="B24" s="12" t="s">
        <v>74</v>
      </c>
      <c r="C24" s="21">
        <f>19454.15</f>
        <v>19454.15</v>
      </c>
      <c r="D24" s="137">
        <f>12.16*13</f>
        <v>158.08</v>
      </c>
      <c r="E24" s="15">
        <v>0</v>
      </c>
      <c r="F24" s="15">
        <v>0</v>
      </c>
      <c r="G24" s="195">
        <f t="shared" si="6"/>
        <v>1621.1791666666668</v>
      </c>
      <c r="H24" s="15">
        <f>45.8*12</f>
        <v>549.5999999999999</v>
      </c>
      <c r="I24" s="23"/>
      <c r="J24" s="82"/>
      <c r="K24" s="82"/>
      <c r="L24" s="48"/>
      <c r="M24" s="27"/>
      <c r="N24" s="15">
        <f t="shared" si="7"/>
        <v>21783.00916666667</v>
      </c>
      <c r="O24" s="23">
        <f t="shared" si="0"/>
        <v>5184.356181666667</v>
      </c>
      <c r="P24" s="83">
        <f>SUM(C24:G24)*0.8*0.061</f>
        <v>1036.1903673333336</v>
      </c>
      <c r="Q24" s="195">
        <f>N24*0.00505-N24*0.00505*15.38%</f>
        <v>93.08555090200835</v>
      </c>
      <c r="R24" s="83">
        <f t="shared" si="5"/>
        <v>6313.632099902009</v>
      </c>
      <c r="S24" s="20">
        <v>0</v>
      </c>
      <c r="T24" s="23">
        <f aca="true" t="shared" si="8" ref="T24:T30">N24*0.085</f>
        <v>1851.5557791666672</v>
      </c>
      <c r="U24" s="15">
        <f t="shared" si="2"/>
        <v>29948.19704573535</v>
      </c>
      <c r="V24" s="9"/>
      <c r="W24" s="9" t="s">
        <v>126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24.75" customHeight="1">
      <c r="A25" s="14" t="s">
        <v>60</v>
      </c>
      <c r="B25" s="14" t="s">
        <v>75</v>
      </c>
      <c r="C25" s="20">
        <f>19917.86</f>
        <v>19917.86</v>
      </c>
      <c r="D25" s="144">
        <f>12.45*13</f>
        <v>161.85</v>
      </c>
      <c r="E25" s="15">
        <v>0</v>
      </c>
      <c r="F25" s="15">
        <v>0</v>
      </c>
      <c r="G25" s="195">
        <f t="shared" si="6"/>
        <v>1659.8216666666667</v>
      </c>
      <c r="H25" s="15">
        <f>45.8*12</f>
        <v>549.5999999999999</v>
      </c>
      <c r="I25" s="20"/>
      <c r="J25" s="20"/>
      <c r="K25" s="20"/>
      <c r="L25" s="15"/>
      <c r="M25" s="15"/>
      <c r="N25" s="15">
        <f t="shared" si="7"/>
        <v>22289.131666666664</v>
      </c>
      <c r="O25" s="23">
        <f t="shared" si="0"/>
        <v>5304.813336666666</v>
      </c>
      <c r="P25" s="20">
        <f>SUM(C25:G25)*0.8*0.061</f>
        <v>1060.8891453333333</v>
      </c>
      <c r="Q25" s="17">
        <f>N25*0.03434</f>
        <v>765.4087814333333</v>
      </c>
      <c r="R25" s="20">
        <f t="shared" si="5"/>
        <v>7131.111263433333</v>
      </c>
      <c r="S25" s="20">
        <v>0</v>
      </c>
      <c r="T25" s="17">
        <f t="shared" si="8"/>
        <v>1894.5761916666665</v>
      </c>
      <c r="U25" s="15">
        <f t="shared" si="2"/>
        <v>31314.819121766664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25.5" customHeight="1">
      <c r="A26" s="14" t="s">
        <v>83</v>
      </c>
      <c r="B26" s="14" t="s">
        <v>80</v>
      </c>
      <c r="C26" s="20">
        <f>17531.61</f>
        <v>17531.61</v>
      </c>
      <c r="D26" s="83">
        <f>10.96*13</f>
        <v>142.48000000000002</v>
      </c>
      <c r="E26" s="119">
        <f>183.14*13</f>
        <v>2380.8199999999997</v>
      </c>
      <c r="F26" s="15">
        <v>0</v>
      </c>
      <c r="G26" s="195">
        <f t="shared" si="6"/>
        <v>1460.9675</v>
      </c>
      <c r="H26" s="15">
        <f>39.31*12</f>
        <v>471.72</v>
      </c>
      <c r="I26" s="20">
        <v>1306.81</v>
      </c>
      <c r="J26" s="20"/>
      <c r="K26" s="20"/>
      <c r="L26" s="15"/>
      <c r="M26" s="15"/>
      <c r="N26" s="15">
        <f>SUM(C26:M26)</f>
        <v>23294.4075</v>
      </c>
      <c r="O26" s="20">
        <f t="shared" si="0"/>
        <v>5544.068985</v>
      </c>
      <c r="P26" s="20">
        <f>SUM(C26:G26)*0.8*0.036</f>
        <v>619.657272</v>
      </c>
      <c r="Q26" s="10">
        <f>N26*0.03434</f>
        <v>799.92995355</v>
      </c>
      <c r="R26" s="20">
        <f t="shared" si="5"/>
        <v>6963.656210550001</v>
      </c>
      <c r="S26" s="20">
        <v>0</v>
      </c>
      <c r="T26" s="17">
        <f t="shared" si="8"/>
        <v>1980.0246375000002</v>
      </c>
      <c r="U26" s="15">
        <f t="shared" si="2"/>
        <v>32238.08834805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28.5" customHeight="1">
      <c r="A27" s="14" t="s">
        <v>84</v>
      </c>
      <c r="B27" s="14" t="s">
        <v>62</v>
      </c>
      <c r="C27" s="15">
        <f>18496.61</f>
        <v>18496.61</v>
      </c>
      <c r="D27" s="83">
        <f>11.56*13</f>
        <v>150.28</v>
      </c>
      <c r="E27" s="15">
        <v>0</v>
      </c>
      <c r="F27" s="20">
        <f>4.61*13</f>
        <v>59.93000000000001</v>
      </c>
      <c r="G27" s="195">
        <f t="shared" si="6"/>
        <v>1541.3841666666667</v>
      </c>
      <c r="H27" s="15">
        <f>39.31*12</f>
        <v>471.72</v>
      </c>
      <c r="I27" s="20"/>
      <c r="J27" s="20"/>
      <c r="K27" s="20"/>
      <c r="L27" s="15"/>
      <c r="M27" s="15"/>
      <c r="N27" s="15">
        <f t="shared" si="7"/>
        <v>20719.924166666668</v>
      </c>
      <c r="O27" s="20">
        <f t="shared" si="0"/>
        <v>4931.341951666666</v>
      </c>
      <c r="P27" s="20">
        <f>SUM(C27:G27)*0.8*0.061</f>
        <v>988.1123633333333</v>
      </c>
      <c r="Q27" s="10">
        <f>N27*0.03434</f>
        <v>711.5221958833334</v>
      </c>
      <c r="R27" s="20">
        <f t="shared" si="5"/>
        <v>6630.9765108833335</v>
      </c>
      <c r="S27" s="20">
        <v>0</v>
      </c>
      <c r="T27" s="17">
        <f t="shared" si="8"/>
        <v>1761.193554166667</v>
      </c>
      <c r="U27" s="15">
        <f t="shared" si="2"/>
        <v>29112.09423171667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22.5" customHeight="1">
      <c r="A28" s="14" t="s">
        <v>85</v>
      </c>
      <c r="B28" s="14" t="s">
        <v>63</v>
      </c>
      <c r="C28" s="20">
        <f>16533.95</f>
        <v>16533.95</v>
      </c>
      <c r="D28" s="137">
        <f>10.33*13</f>
        <v>134.29</v>
      </c>
      <c r="E28" s="15">
        <v>0</v>
      </c>
      <c r="F28" s="15">
        <v>0</v>
      </c>
      <c r="G28" s="195">
        <f t="shared" si="6"/>
        <v>1377.8291666666667</v>
      </c>
      <c r="H28" s="20">
        <f>32.4*12</f>
        <v>388.79999999999995</v>
      </c>
      <c r="I28" s="20"/>
      <c r="J28" s="20"/>
      <c r="K28" s="20"/>
      <c r="L28" s="15"/>
      <c r="M28" s="15"/>
      <c r="N28" s="15">
        <f t="shared" si="7"/>
        <v>18434.869166666667</v>
      </c>
      <c r="O28" s="20">
        <f t="shared" si="0"/>
        <v>4387.498861666667</v>
      </c>
      <c r="P28" s="20">
        <f>SUM(C28:G28)*0.8*0.061</f>
        <v>880.6481753333334</v>
      </c>
      <c r="Q28" s="10">
        <f>N28*0.03434</f>
        <v>633.0534071833334</v>
      </c>
      <c r="R28" s="20">
        <f t="shared" si="5"/>
        <v>5901.200444183334</v>
      </c>
      <c r="S28" s="20">
        <v>0</v>
      </c>
      <c r="T28" s="17">
        <f t="shared" si="8"/>
        <v>1566.9638791666669</v>
      </c>
      <c r="U28" s="15">
        <f t="shared" si="2"/>
        <v>25903.033490016667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28.5" customHeight="1">
      <c r="A29" s="12" t="s">
        <v>53</v>
      </c>
      <c r="B29" s="12" t="s">
        <v>62</v>
      </c>
      <c r="C29" s="15">
        <f>18496.61</f>
        <v>18496.61</v>
      </c>
      <c r="D29" s="119">
        <f>11.56*13</f>
        <v>150.28</v>
      </c>
      <c r="E29" s="23">
        <f>19.72*13</f>
        <v>256.36</v>
      </c>
      <c r="F29" s="23">
        <f>4.61*13</f>
        <v>59.93000000000001</v>
      </c>
      <c r="G29" s="195">
        <f t="shared" si="6"/>
        <v>1541.3841666666667</v>
      </c>
      <c r="H29" s="15">
        <f>39.31*12</f>
        <v>471.72</v>
      </c>
      <c r="I29" s="23"/>
      <c r="J29" s="23"/>
      <c r="K29" s="23"/>
      <c r="L29" s="15"/>
      <c r="M29" s="15"/>
      <c r="N29" s="15">
        <f t="shared" si="7"/>
        <v>20976.284166666668</v>
      </c>
      <c r="O29" s="23">
        <f t="shared" si="0"/>
        <v>4992.355631666667</v>
      </c>
      <c r="P29" s="20">
        <f>SUM(C29:G29)*0.8*0.036</f>
        <v>590.5314480000001</v>
      </c>
      <c r="Q29" s="10">
        <f>N29*0.03434</f>
        <v>720.3255982833334</v>
      </c>
      <c r="R29" s="20">
        <f t="shared" si="5"/>
        <v>6303.21267795</v>
      </c>
      <c r="S29" s="20">
        <v>0</v>
      </c>
      <c r="T29" s="23">
        <f t="shared" si="8"/>
        <v>1782.984154166667</v>
      </c>
      <c r="U29" s="15">
        <f t="shared" si="2"/>
        <v>29062.480998783336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43.5" customHeight="1">
      <c r="A30" s="59" t="s">
        <v>124</v>
      </c>
      <c r="B30" s="65" t="s">
        <v>79</v>
      </c>
      <c r="C30" s="62">
        <f>22203.89</f>
        <v>22203.89</v>
      </c>
      <c r="D30" s="62">
        <f>13.88*13</f>
        <v>180.44</v>
      </c>
      <c r="E30" s="60">
        <v>0</v>
      </c>
      <c r="F30" s="60">
        <v>0</v>
      </c>
      <c r="G30" s="60">
        <f t="shared" si="6"/>
        <v>1850.3241666666665</v>
      </c>
      <c r="H30" s="60">
        <f>51.9*12</f>
        <v>622.8</v>
      </c>
      <c r="I30" s="51">
        <f>(92.57*12)</f>
        <v>1110.84</v>
      </c>
      <c r="J30" s="62"/>
      <c r="K30" s="62"/>
      <c r="L30" s="62"/>
      <c r="M30" s="63"/>
      <c r="N30" s="63">
        <f>SUM(C30:M30)</f>
        <v>25968.294166666663</v>
      </c>
      <c r="O30" s="62">
        <f t="shared" si="0"/>
        <v>6180.454011666666</v>
      </c>
      <c r="P30" s="61">
        <f>(C30+D30+E30+F30+G30+I30)*0.8*0.061</f>
        <v>1236.8601153333334</v>
      </c>
      <c r="Q30" s="64">
        <f>N30*0.0101-N30*0.0101*15.38%</f>
        <v>221.9411422907166</v>
      </c>
      <c r="R30" s="61">
        <f t="shared" si="5"/>
        <v>7639.255269290717</v>
      </c>
      <c r="S30" s="61">
        <v>0</v>
      </c>
      <c r="T30" s="62">
        <f t="shared" si="8"/>
        <v>2207.3050041666665</v>
      </c>
      <c r="U30" s="60">
        <f t="shared" si="2"/>
        <v>35814.85444012404</v>
      </c>
      <c r="V30" s="78">
        <f>+U30*30.56%</f>
        <v>10945.019516901906</v>
      </c>
      <c r="W30" s="122">
        <f>+V30/2</f>
        <v>5472.509758450953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ht="42.75" customHeight="1">
      <c r="A31" s="77" t="s">
        <v>98</v>
      </c>
      <c r="B31" s="79" t="s">
        <v>79</v>
      </c>
      <c r="C31" s="80"/>
      <c r="D31" s="80"/>
      <c r="E31" s="76"/>
      <c r="F31" s="80"/>
      <c r="G31" s="76"/>
      <c r="H31" s="76"/>
      <c r="I31" s="75"/>
      <c r="J31" s="75"/>
      <c r="K31" s="75"/>
      <c r="L31" s="76"/>
      <c r="M31" s="76"/>
      <c r="N31" s="76"/>
      <c r="O31" s="76"/>
      <c r="P31" s="76"/>
      <c r="Q31" s="76"/>
      <c r="R31" s="76"/>
      <c r="S31" s="61">
        <v>0</v>
      </c>
      <c r="T31" s="76"/>
      <c r="U31" s="76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ht="42.75" customHeight="1">
      <c r="A32" s="59" t="s">
        <v>43</v>
      </c>
      <c r="B32" s="65" t="s">
        <v>74</v>
      </c>
      <c r="C32" s="62">
        <f>19454.15/36*18</f>
        <v>9727.075</v>
      </c>
      <c r="D32" s="62">
        <f>(12.16/36*18)*13</f>
        <v>79.04</v>
      </c>
      <c r="E32" s="60">
        <v>0</v>
      </c>
      <c r="F32" s="60">
        <v>0</v>
      </c>
      <c r="G32" s="60">
        <f>C32/12</f>
        <v>810.5895833333334</v>
      </c>
      <c r="H32" s="60">
        <f>(45.8*12)/36*18</f>
        <v>274.79999999999995</v>
      </c>
      <c r="I32" s="51">
        <f>(65.02*12)/36*18</f>
        <v>390.12</v>
      </c>
      <c r="J32" s="62"/>
      <c r="K32" s="62"/>
      <c r="L32" s="62"/>
      <c r="M32" s="63"/>
      <c r="N32" s="63">
        <f>SUM(C32:M32)</f>
        <v>11281.624583333336</v>
      </c>
      <c r="O32" s="63">
        <f>N32*0.238</f>
        <v>2685.026650833334</v>
      </c>
      <c r="P32" s="62">
        <f>(C32+D32+E32+F32+G32+I32)*0.8*0.061</f>
        <v>537.1330396666668</v>
      </c>
      <c r="Q32" s="62">
        <f>N32*0.0101-N32*0.0101*15.38%</f>
        <v>96.41975829640835</v>
      </c>
      <c r="R32" s="60">
        <f>O32+P32+Q32</f>
        <v>3318.579448796409</v>
      </c>
      <c r="S32" s="60">
        <v>0</v>
      </c>
      <c r="T32" s="60">
        <f>N32*0.085</f>
        <v>958.9380895833336</v>
      </c>
      <c r="U32" s="60">
        <f>N32+R32+S32+T32</f>
        <v>15559.142121713077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ht="46.5" customHeight="1">
      <c r="A33" s="22" t="s">
        <v>129</v>
      </c>
      <c r="B33" s="18" t="s">
        <v>74</v>
      </c>
      <c r="C33" s="121"/>
      <c r="D33" s="121"/>
      <c r="E33" s="16"/>
      <c r="F33" s="16"/>
      <c r="G33" s="28"/>
      <c r="H33" s="25"/>
      <c r="I33" s="25"/>
      <c r="J33" s="25"/>
      <c r="K33" s="25"/>
      <c r="L33" s="36"/>
      <c r="M33" s="36"/>
      <c r="N33" s="25"/>
      <c r="O33" s="25"/>
      <c r="P33" s="26"/>
      <c r="Q33" s="11"/>
      <c r="R33" s="26"/>
      <c r="S33" s="26">
        <v>0</v>
      </c>
      <c r="T33" s="25"/>
      <c r="U33" s="1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33.75" customHeight="1">
      <c r="A34" s="22" t="s">
        <v>5</v>
      </c>
      <c r="B34" s="18" t="s">
        <v>71</v>
      </c>
      <c r="C34" s="25"/>
      <c r="D34" s="25"/>
      <c r="E34" s="106"/>
      <c r="F34" s="106"/>
      <c r="G34" s="28"/>
      <c r="H34" s="25"/>
      <c r="I34" s="106"/>
      <c r="J34" s="106"/>
      <c r="K34" s="106"/>
      <c r="L34" s="106"/>
      <c r="M34" s="106"/>
      <c r="N34" s="25"/>
      <c r="O34" s="25"/>
      <c r="P34" s="26"/>
      <c r="Q34" s="11"/>
      <c r="R34" s="26"/>
      <c r="S34" s="26">
        <v>0</v>
      </c>
      <c r="T34" s="25"/>
      <c r="U34" s="1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48" customHeight="1">
      <c r="A35" s="22" t="s">
        <v>6</v>
      </c>
      <c r="B35" s="18" t="s">
        <v>74</v>
      </c>
      <c r="C35" s="121"/>
      <c r="D35" s="121"/>
      <c r="E35" s="16"/>
      <c r="F35" s="16"/>
      <c r="G35" s="28"/>
      <c r="H35" s="16"/>
      <c r="I35" s="25"/>
      <c r="J35" s="135"/>
      <c r="K35" s="135"/>
      <c r="L35" s="136"/>
      <c r="M35" s="36"/>
      <c r="N35" s="16"/>
      <c r="O35" s="25"/>
      <c r="P35" s="26"/>
      <c r="Q35" s="11"/>
      <c r="R35" s="26"/>
      <c r="S35" s="26">
        <v>0</v>
      </c>
      <c r="T35" s="25"/>
      <c r="U35" s="16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33.75" customHeight="1">
      <c r="A36" s="19" t="s">
        <v>66</v>
      </c>
      <c r="B36" s="12" t="s">
        <v>55</v>
      </c>
      <c r="C36" s="23">
        <f>24338.14</f>
        <v>24338.14</v>
      </c>
      <c r="D36" s="83">
        <f>15.21*13</f>
        <v>197.73000000000002</v>
      </c>
      <c r="E36" s="35">
        <v>0</v>
      </c>
      <c r="F36" s="23">
        <f>2.31*13</f>
        <v>30.03</v>
      </c>
      <c r="G36" s="195">
        <f>C36/12</f>
        <v>2028.1783333333333</v>
      </c>
      <c r="H36" s="15">
        <f>51.9*12</f>
        <v>622.8</v>
      </c>
      <c r="I36" s="23"/>
      <c r="J36" s="23"/>
      <c r="K36" s="23"/>
      <c r="L36" s="23"/>
      <c r="M36" s="35"/>
      <c r="N36" s="23">
        <f>SUM(C36:M36)</f>
        <v>27216.87833333333</v>
      </c>
      <c r="O36" s="23">
        <f>N36*0.238</f>
        <v>6477.617043333333</v>
      </c>
      <c r="P36" s="20">
        <f>SUM(C36:G36)*0.8*0.036</f>
        <v>765.9094559999999</v>
      </c>
      <c r="Q36" s="195">
        <f>N36*0.00505-N36*0.00505*15.38%</f>
        <v>116.30615835061664</v>
      </c>
      <c r="R36" s="20">
        <f>O36+P36+Q36</f>
        <v>7359.83265768395</v>
      </c>
      <c r="S36" s="20">
        <v>0</v>
      </c>
      <c r="T36" s="23">
        <f>N36*0.085</f>
        <v>2313.434658333333</v>
      </c>
      <c r="U36" s="15">
        <f>N36+R36+T36</f>
        <v>36890.14564935061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2" customHeight="1">
      <c r="A37" s="45" t="s">
        <v>87</v>
      </c>
      <c r="B37" s="46" t="s">
        <v>55</v>
      </c>
      <c r="C37" s="47"/>
      <c r="D37" s="23"/>
      <c r="E37" s="48"/>
      <c r="F37" s="47"/>
      <c r="G37" s="113"/>
      <c r="H37" s="48"/>
      <c r="I37" s="49"/>
      <c r="J37" s="49"/>
      <c r="K37" s="49"/>
      <c r="L37" s="48">
        <f>(6400+(6400*25%))</f>
        <v>8000</v>
      </c>
      <c r="M37" s="48"/>
      <c r="N37" s="48">
        <f>L37</f>
        <v>8000</v>
      </c>
      <c r="O37" s="48">
        <f>N37*0.238</f>
        <v>1904</v>
      </c>
      <c r="P37" s="48">
        <f>6400*0.8*0.036</f>
        <v>184.32</v>
      </c>
      <c r="Q37" s="48">
        <f>N37*0.00505-N37*0.00505*15.38%</f>
        <v>34.186479999999996</v>
      </c>
      <c r="R37" s="48">
        <f>O37+P37+Q37</f>
        <v>2122.50648</v>
      </c>
      <c r="S37" s="20">
        <v>0</v>
      </c>
      <c r="T37" s="48">
        <f>L37*0.085</f>
        <v>680</v>
      </c>
      <c r="U37" s="48">
        <f>N37+R37+T37</f>
        <v>10802.50648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54" customHeight="1">
      <c r="A38" s="19" t="s">
        <v>1</v>
      </c>
      <c r="B38" s="19" t="s">
        <v>71</v>
      </c>
      <c r="C38" s="23">
        <f>21166.71</f>
        <v>21166.71</v>
      </c>
      <c r="D38" s="83">
        <f>13.23*13</f>
        <v>171.99</v>
      </c>
      <c r="E38" s="27">
        <v>0</v>
      </c>
      <c r="F38" s="27">
        <v>0</v>
      </c>
      <c r="G38" s="195">
        <f>C38/12</f>
        <v>1763.8925</v>
      </c>
      <c r="H38" s="15">
        <f>51.9*12</f>
        <v>622.8</v>
      </c>
      <c r="I38" s="23"/>
      <c r="J38" s="23"/>
      <c r="K38" s="23"/>
      <c r="L38" s="27"/>
      <c r="M38" s="27"/>
      <c r="N38" s="23">
        <f>SUM(C38:M38)</f>
        <v>23725.392499999998</v>
      </c>
      <c r="O38" s="23">
        <f>N38*0.238</f>
        <v>5646.643415</v>
      </c>
      <c r="P38" s="83">
        <f>SUM(C38:G38)*0.8*0.061</f>
        <v>1127.406514</v>
      </c>
      <c r="Q38" s="195">
        <f>N38*0.00505-N38*0.00505*15.38%</f>
        <v>101.38595702417499</v>
      </c>
      <c r="R38" s="83">
        <f>O38+P38+Q38</f>
        <v>6875.435886024175</v>
      </c>
      <c r="S38" s="20">
        <v>0</v>
      </c>
      <c r="T38" s="23">
        <f>N38*0.085</f>
        <v>2016.6583625</v>
      </c>
      <c r="U38" s="15">
        <f>N38+R38+T38</f>
        <v>32617.48674852417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</row>
    <row r="39" spans="1:38" ht="54.75" customHeight="1">
      <c r="A39" s="19" t="s">
        <v>35</v>
      </c>
      <c r="B39" s="12"/>
      <c r="C39" s="27"/>
      <c r="D39" s="150"/>
      <c r="E39" s="27"/>
      <c r="F39" s="27"/>
      <c r="G39" s="27"/>
      <c r="H39" s="27"/>
      <c r="I39" s="27"/>
      <c r="J39" s="27"/>
      <c r="K39" s="27"/>
      <c r="L39" s="27"/>
      <c r="M39" s="27"/>
      <c r="N39" s="114">
        <v>36727.91</v>
      </c>
      <c r="O39" s="23">
        <f>N39*0.238</f>
        <v>8741.24258</v>
      </c>
      <c r="P39" s="124"/>
      <c r="Q39" s="199">
        <f>N39*0.0101</f>
        <v>370.95189100000005</v>
      </c>
      <c r="R39" s="83">
        <f>O39+P39+Q39</f>
        <v>9112.194471</v>
      </c>
      <c r="S39" s="20">
        <v>0</v>
      </c>
      <c r="T39" s="23">
        <f>N39*0.085</f>
        <v>3121.8723500000006</v>
      </c>
      <c r="U39" s="15">
        <f>N39+R39+T39</f>
        <v>48961.976821000004</v>
      </c>
      <c r="V39" s="9" t="s">
        <v>134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27.75" customHeight="1">
      <c r="A40" s="125" t="s">
        <v>64</v>
      </c>
      <c r="B40" s="126"/>
      <c r="C40" s="127">
        <f>SUM(C4:C39)</f>
        <v>484094.3427777778</v>
      </c>
      <c r="D40" s="127">
        <f aca="true" t="shared" si="9" ref="D40:U40">SUM(D4:D39)</f>
        <v>3888.3</v>
      </c>
      <c r="E40" s="127">
        <f t="shared" si="9"/>
        <v>2998.8399999999997</v>
      </c>
      <c r="F40" s="127">
        <f t="shared" si="9"/>
        <v>269.75</v>
      </c>
      <c r="G40" s="32">
        <f t="shared" si="9"/>
        <v>40341.195231481484</v>
      </c>
      <c r="H40" s="127">
        <f t="shared" si="9"/>
        <v>12108.37333333333</v>
      </c>
      <c r="I40" s="127">
        <f t="shared" si="9"/>
        <v>2807.7699999999995</v>
      </c>
      <c r="J40" s="127">
        <f t="shared" si="9"/>
        <v>12832.421875</v>
      </c>
      <c r="K40" s="127">
        <f t="shared" si="9"/>
        <v>0</v>
      </c>
      <c r="L40" s="127">
        <f t="shared" si="9"/>
        <v>43712.57</v>
      </c>
      <c r="M40" s="74">
        <f t="shared" si="9"/>
        <v>4509.693256250001</v>
      </c>
      <c r="N40" s="127">
        <f t="shared" si="9"/>
        <v>657176.0043488425</v>
      </c>
      <c r="O40" s="127">
        <f t="shared" si="9"/>
        <v>156407.8890350245</v>
      </c>
      <c r="P40" s="128">
        <f t="shared" si="9"/>
        <v>23940.209717518523</v>
      </c>
      <c r="Q40" s="129">
        <f t="shared" si="9"/>
        <v>9094.207595515803</v>
      </c>
      <c r="R40" s="128">
        <f t="shared" si="9"/>
        <v>189442.30634805886</v>
      </c>
      <c r="S40" s="128">
        <f t="shared" si="9"/>
        <v>0</v>
      </c>
      <c r="T40" s="127">
        <f>SUM(T4:T39)</f>
        <v>53965.384177984946</v>
      </c>
      <c r="U40" s="140">
        <f t="shared" si="9"/>
        <v>900583.6948748863</v>
      </c>
      <c r="V40" s="9"/>
      <c r="W40" s="123">
        <f>+N40+O40+P40+Q40+T40</f>
        <v>900583.6948748863</v>
      </c>
      <c r="X40" s="123"/>
      <c r="Y40" s="123"/>
      <c r="Z40" s="12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9.5" customHeight="1">
      <c r="A41" s="19" t="s">
        <v>88</v>
      </c>
      <c r="B41" s="58"/>
      <c r="C41" s="66"/>
      <c r="D41" s="66"/>
      <c r="E41" s="66"/>
      <c r="F41" s="66"/>
      <c r="G41" s="115"/>
      <c r="H41" s="66"/>
      <c r="I41" s="66"/>
      <c r="J41" s="66"/>
      <c r="K41" s="66"/>
      <c r="L41" s="66"/>
      <c r="N41" s="67"/>
      <c r="O41" s="66"/>
      <c r="P41" s="68"/>
      <c r="Q41" s="69"/>
      <c r="R41" s="68"/>
      <c r="S41" s="68"/>
      <c r="T41" s="66"/>
      <c r="U41" s="7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4.75" customHeight="1">
      <c r="A42" s="19" t="s">
        <v>8</v>
      </c>
      <c r="B42" s="110"/>
      <c r="C42" s="27"/>
      <c r="D42" s="27"/>
      <c r="E42" s="27"/>
      <c r="F42" s="27"/>
      <c r="G42" s="114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11"/>
      <c r="W42" s="9"/>
      <c r="X42" s="9"/>
      <c r="Y42" s="123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42.75" customHeight="1">
      <c r="A43" s="181" t="s">
        <v>25</v>
      </c>
      <c r="B43" s="182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>
        <v>10574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42.75" customHeight="1">
      <c r="A44" s="181" t="s">
        <v>137</v>
      </c>
      <c r="B44" s="182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>
        <f>6292.8+3210</f>
        <v>9502.8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2.75" customHeight="1">
      <c r="A45" s="181" t="s">
        <v>139</v>
      </c>
      <c r="B45" s="182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>
        <v>40000</v>
      </c>
      <c r="O45" s="180"/>
      <c r="P45" s="180"/>
      <c r="Q45" s="180"/>
      <c r="R45" s="180"/>
      <c r="S45" s="180"/>
      <c r="T45" s="180"/>
      <c r="U45" s="180">
        <f>+N45</f>
        <v>40000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42.75" customHeight="1">
      <c r="A46" s="181" t="s">
        <v>18</v>
      </c>
      <c r="B46" s="182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>
        <v>10000</v>
      </c>
      <c r="O46" s="180"/>
      <c r="P46" s="180"/>
      <c r="Q46" s="180"/>
      <c r="R46" s="180"/>
      <c r="S46" s="180"/>
      <c r="T46" s="180"/>
      <c r="U46" s="180">
        <f>+N46</f>
        <v>10000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42.75" customHeight="1">
      <c r="A47" s="181" t="s">
        <v>19</v>
      </c>
      <c r="B47" s="182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>
        <v>2000</v>
      </c>
      <c r="O47" s="180"/>
      <c r="P47" s="180"/>
      <c r="Q47" s="180"/>
      <c r="R47" s="180"/>
      <c r="S47" s="180"/>
      <c r="T47" s="180"/>
      <c r="U47" s="180">
        <f>+N47</f>
        <v>2000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29.25" customHeight="1">
      <c r="A48" s="181" t="s">
        <v>140</v>
      </c>
      <c r="B48" s="182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>
        <v>3000</v>
      </c>
      <c r="U48" s="180">
        <f>+T48</f>
        <v>3000</v>
      </c>
      <c r="V48" s="9" t="s">
        <v>7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4.25" customHeight="1">
      <c r="A49" s="19" t="s">
        <v>20</v>
      </c>
      <c r="B49" s="52"/>
      <c r="C49" s="27"/>
      <c r="D49" s="27"/>
      <c r="E49" s="27"/>
      <c r="F49" s="27"/>
      <c r="G49" s="114"/>
      <c r="H49" s="27"/>
      <c r="I49" s="27"/>
      <c r="J49" s="27"/>
      <c r="K49" s="27"/>
      <c r="L49" s="27"/>
      <c r="M49" s="27"/>
      <c r="N49" s="27">
        <v>1700</v>
      </c>
      <c r="O49" s="27"/>
      <c r="P49" s="27"/>
      <c r="Q49" s="27"/>
      <c r="R49" s="27"/>
      <c r="S49" s="27"/>
      <c r="T49" s="27">
        <v>20</v>
      </c>
      <c r="U49" s="27">
        <f>+N49+T49</f>
        <v>1720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27.75" customHeight="1">
      <c r="A50" s="19" t="s">
        <v>89</v>
      </c>
      <c r="B50" s="52"/>
      <c r="C50" s="27"/>
      <c r="D50" s="27"/>
      <c r="E50" s="27"/>
      <c r="F50" s="27"/>
      <c r="G50" s="114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>
        <v>10000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28.5" customHeight="1">
      <c r="A51" s="125" t="s">
        <v>96</v>
      </c>
      <c r="B51" s="161"/>
      <c r="C51" s="162"/>
      <c r="D51" s="74"/>
      <c r="E51" s="162"/>
      <c r="F51" s="162"/>
      <c r="G51" s="162"/>
      <c r="H51" s="162"/>
      <c r="I51" s="162"/>
      <c r="J51" s="162"/>
      <c r="K51" s="162"/>
      <c r="L51" s="162"/>
      <c r="M51" s="162"/>
      <c r="N51" s="162">
        <f>+N43+N44+N45+N46+N47+N48+N49+N50</f>
        <v>53700</v>
      </c>
      <c r="O51" s="162"/>
      <c r="P51" s="162"/>
      <c r="Q51" s="162"/>
      <c r="R51" s="162">
        <f>SUM(R42:R50)</f>
        <v>0</v>
      </c>
      <c r="S51" s="162"/>
      <c r="T51" s="162">
        <f>+T43+T44+T45+T46+T47+T48+T49+T50</f>
        <v>3020</v>
      </c>
      <c r="U51" s="73">
        <f>+U40+U43+U44+U45+U46+U47+U48+U49+U50</f>
        <v>987380.4948748864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2.75" hidden="1">
      <c r="A52" s="19"/>
      <c r="B52" s="70"/>
      <c r="C52" s="71"/>
      <c r="D52" s="71"/>
      <c r="E52" s="71"/>
      <c r="F52" s="71"/>
      <c r="G52" s="116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220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2"/>
    </row>
    <row r="53" spans="1:38" ht="27.75" customHeight="1">
      <c r="A53" s="13" t="s">
        <v>11</v>
      </c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54" customHeight="1">
      <c r="A54" s="22" t="s">
        <v>21</v>
      </c>
      <c r="B54" s="18" t="s">
        <v>81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16"/>
      <c r="N54" s="28"/>
      <c r="O54" s="28"/>
      <c r="P54" s="28"/>
      <c r="Q54" s="28"/>
      <c r="R54" s="28"/>
      <c r="S54" s="28"/>
      <c r="T54" s="28"/>
      <c r="U54" s="28"/>
      <c r="V54" s="193">
        <f>+U4/2</f>
        <v>34870.875653250005</v>
      </c>
      <c r="W54" s="104">
        <f>+U54+U55</f>
        <v>0</v>
      </c>
      <c r="X54" s="109">
        <f>+U54+U55</f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38.25" customHeight="1">
      <c r="A55" s="22" t="s">
        <v>22</v>
      </c>
      <c r="B55" s="18" t="s">
        <v>81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16"/>
      <c r="N55" s="29"/>
      <c r="O55" s="28"/>
      <c r="P55" s="28"/>
      <c r="Q55" s="28"/>
      <c r="R55" s="28"/>
      <c r="S55" s="28"/>
      <c r="T55" s="28"/>
      <c r="U55" s="28"/>
      <c r="V55" s="194"/>
      <c r="W55" s="104"/>
      <c r="X55" s="10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48" customHeight="1">
      <c r="A56" s="59" t="s">
        <v>0</v>
      </c>
      <c r="B56" s="65" t="s">
        <v>75</v>
      </c>
      <c r="C56" s="61">
        <f>19917.86</f>
        <v>19917.86</v>
      </c>
      <c r="D56" s="157">
        <f>12.45*12</f>
        <v>149.39999999999998</v>
      </c>
      <c r="E56" s="60">
        <v>0</v>
      </c>
      <c r="F56" s="60">
        <v>0</v>
      </c>
      <c r="G56" s="60">
        <f>(C56+D56+E56+F56)/12</f>
        <v>1672.2716666666668</v>
      </c>
      <c r="H56" s="60">
        <f>45.8*12</f>
        <v>549.5999999999999</v>
      </c>
      <c r="I56" s="61"/>
      <c r="J56" s="61"/>
      <c r="K56" s="61"/>
      <c r="L56" s="60"/>
      <c r="M56" s="60"/>
      <c r="N56" s="60">
        <f>SUM(C56:M56)</f>
        <v>22289.131666666668</v>
      </c>
      <c r="O56" s="61">
        <f>N56*0.238</f>
        <v>5304.813336666667</v>
      </c>
      <c r="P56" s="61">
        <f>SUM(C56:G56)*0.8*0.061</f>
        <v>1060.8891453333335</v>
      </c>
      <c r="Q56" s="160">
        <f>N56*0.03434</f>
        <v>765.4087814333334</v>
      </c>
      <c r="R56" s="61">
        <f>O56+P56+Q56</f>
        <v>7131.111263433334</v>
      </c>
      <c r="S56" s="61">
        <v>0</v>
      </c>
      <c r="T56" s="160"/>
      <c r="U56" s="60">
        <f>N56+R56+T56</f>
        <v>29420.2429301</v>
      </c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</row>
    <row r="57" spans="1:38" ht="53.25" customHeight="1">
      <c r="A57" s="59" t="s">
        <v>34</v>
      </c>
      <c r="B57" s="59" t="s">
        <v>79</v>
      </c>
      <c r="C57" s="60"/>
      <c r="D57" s="60"/>
      <c r="E57" s="60"/>
      <c r="F57" s="60"/>
      <c r="G57" s="60"/>
      <c r="H57" s="60"/>
      <c r="I57" s="51"/>
      <c r="J57" s="62"/>
      <c r="K57" s="62"/>
      <c r="L57" s="62"/>
      <c r="M57" s="63"/>
      <c r="N57" s="62"/>
      <c r="O57" s="62"/>
      <c r="P57" s="61"/>
      <c r="Q57" s="64"/>
      <c r="R57" s="61"/>
      <c r="S57" s="61"/>
      <c r="T57" s="62"/>
      <c r="U57" s="60"/>
      <c r="V57" s="139"/>
      <c r="W57" s="139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</row>
    <row r="58" spans="1:38" ht="56.25" customHeight="1">
      <c r="A58" s="77" t="s">
        <v>99</v>
      </c>
      <c r="B58" s="77" t="s">
        <v>79</v>
      </c>
      <c r="C58" s="77"/>
      <c r="D58" s="77"/>
      <c r="E58" s="76"/>
      <c r="F58" s="76"/>
      <c r="G58" s="76"/>
      <c r="H58" s="76"/>
      <c r="I58" s="60"/>
      <c r="J58" s="60"/>
      <c r="K58" s="60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8"/>
      <c r="W58" s="179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</row>
    <row r="59" spans="1:38" ht="32.25" customHeight="1">
      <c r="A59" s="181" t="s">
        <v>138</v>
      </c>
      <c r="B59" s="183"/>
      <c r="C59" s="183"/>
      <c r="D59" s="183"/>
      <c r="E59" s="184"/>
      <c r="F59" s="184"/>
      <c r="G59" s="184"/>
      <c r="H59" s="184"/>
      <c r="I59" s="185"/>
      <c r="J59" s="185"/>
      <c r="K59" s="185"/>
      <c r="L59" s="184"/>
      <c r="M59" s="184"/>
      <c r="N59" s="180">
        <f>+U44</f>
        <v>9502.8</v>
      </c>
      <c r="O59" s="184"/>
      <c r="P59" s="184"/>
      <c r="Q59" s="184"/>
      <c r="R59" s="184"/>
      <c r="S59" s="184"/>
      <c r="T59" s="184"/>
      <c r="U59" s="185">
        <f>+N59</f>
        <v>9502.8</v>
      </c>
      <c r="V59" s="78"/>
      <c r="W59" s="179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</row>
    <row r="60" spans="1:38" ht="56.25" customHeight="1">
      <c r="A60" s="181" t="s">
        <v>139</v>
      </c>
      <c r="B60" s="183"/>
      <c r="C60" s="183"/>
      <c r="D60" s="183"/>
      <c r="E60" s="184"/>
      <c r="F60" s="184"/>
      <c r="G60" s="184"/>
      <c r="H60" s="184"/>
      <c r="I60" s="185"/>
      <c r="J60" s="185"/>
      <c r="K60" s="185"/>
      <c r="L60" s="184"/>
      <c r="M60" s="184"/>
      <c r="N60" s="180">
        <v>40000</v>
      </c>
      <c r="O60" s="180"/>
      <c r="P60" s="180"/>
      <c r="Q60" s="180"/>
      <c r="R60" s="180"/>
      <c r="S60" s="180"/>
      <c r="T60" s="180"/>
      <c r="U60" s="180">
        <f>+N60</f>
        <v>40000</v>
      </c>
      <c r="V60" s="78"/>
      <c r="W60" s="179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</row>
    <row r="61" spans="1:38" ht="31.5" customHeight="1">
      <c r="A61" s="181" t="s">
        <v>118</v>
      </c>
      <c r="B61" s="183"/>
      <c r="C61" s="183"/>
      <c r="D61" s="183"/>
      <c r="E61" s="184"/>
      <c r="F61" s="184"/>
      <c r="G61" s="184"/>
      <c r="H61" s="184"/>
      <c r="I61" s="185"/>
      <c r="J61" s="185"/>
      <c r="K61" s="185"/>
      <c r="L61" s="184"/>
      <c r="M61" s="184"/>
      <c r="N61" s="187">
        <f>N6</f>
        <v>12884.837875000001</v>
      </c>
      <c r="O61" s="188">
        <f>+N61*23.8%</f>
        <v>3066.5914142500005</v>
      </c>
      <c r="P61" s="188">
        <v>0</v>
      </c>
      <c r="Q61" s="188">
        <v>0</v>
      </c>
      <c r="R61" s="188">
        <f>+O61+P61+Q61</f>
        <v>3066.5914142500005</v>
      </c>
      <c r="S61" s="189"/>
      <c r="T61" s="188">
        <f>N61*0.085</f>
        <v>1095.2112193750002</v>
      </c>
      <c r="U61" s="188">
        <f>+N61+R61+T61</f>
        <v>17046.640508625</v>
      </c>
      <c r="V61" s="78"/>
      <c r="W61" s="179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spans="1:38" ht="34.5" customHeight="1">
      <c r="A62" s="181" t="s">
        <v>140</v>
      </c>
      <c r="B62" s="182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>
        <v>3000</v>
      </c>
      <c r="O62" s="180"/>
      <c r="P62" s="180"/>
      <c r="Q62" s="180"/>
      <c r="R62" s="180"/>
      <c r="S62" s="180"/>
      <c r="T62" s="180"/>
      <c r="U62" s="180">
        <f>+N62</f>
        <v>3000</v>
      </c>
      <c r="V62" s="78"/>
      <c r="W62" s="179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</row>
    <row r="63" spans="1:38" ht="33" customHeight="1">
      <c r="A63" s="181" t="s">
        <v>19</v>
      </c>
      <c r="B63" s="182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>
        <v>2000</v>
      </c>
      <c r="O63" s="180"/>
      <c r="P63" s="180"/>
      <c r="Q63" s="180"/>
      <c r="R63" s="180"/>
      <c r="S63" s="180"/>
      <c r="T63" s="180"/>
      <c r="U63" s="180">
        <f>+N63</f>
        <v>2000</v>
      </c>
      <c r="V63" s="78"/>
      <c r="W63" s="179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  <row r="64" spans="1:38" ht="39" customHeight="1">
      <c r="A64" s="181" t="s">
        <v>18</v>
      </c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>
        <v>10000</v>
      </c>
      <c r="O64" s="180"/>
      <c r="P64" s="180"/>
      <c r="Q64" s="180"/>
      <c r="R64" s="180"/>
      <c r="S64" s="180"/>
      <c r="T64" s="180"/>
      <c r="U64" s="180">
        <f>+N64</f>
        <v>10000</v>
      </c>
      <c r="V64" s="78"/>
      <c r="W64" s="179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</row>
    <row r="65" spans="1:38" ht="48.75" customHeight="1">
      <c r="A65" s="22" t="s">
        <v>130</v>
      </c>
      <c r="B65" s="18" t="s">
        <v>74</v>
      </c>
      <c r="C65" s="121"/>
      <c r="D65" s="121"/>
      <c r="E65" s="16"/>
      <c r="F65" s="16"/>
      <c r="G65" s="28"/>
      <c r="H65" s="25"/>
      <c r="I65" s="25"/>
      <c r="J65" s="25"/>
      <c r="K65" s="25"/>
      <c r="L65" s="36"/>
      <c r="M65" s="36"/>
      <c r="N65" s="25"/>
      <c r="O65" s="25"/>
      <c r="P65" s="26"/>
      <c r="Q65" s="11"/>
      <c r="R65" s="26"/>
      <c r="S65" s="26"/>
      <c r="T65" s="25"/>
      <c r="U65" s="16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43.5" customHeight="1">
      <c r="A66" s="22" t="s">
        <v>2</v>
      </c>
      <c r="B66" s="18" t="s">
        <v>74</v>
      </c>
      <c r="C66" s="121"/>
      <c r="D66" s="121"/>
      <c r="E66" s="16"/>
      <c r="F66" s="16"/>
      <c r="G66" s="28"/>
      <c r="H66" s="25"/>
      <c r="I66" s="25"/>
      <c r="J66" s="25"/>
      <c r="K66" s="25"/>
      <c r="L66" s="36"/>
      <c r="M66" s="36"/>
      <c r="N66" s="25"/>
      <c r="O66" s="25"/>
      <c r="P66" s="26"/>
      <c r="Q66" s="11"/>
      <c r="R66" s="26"/>
      <c r="S66" s="26"/>
      <c r="T66" s="25"/>
      <c r="U66" s="1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42.75" customHeight="1">
      <c r="A67" s="22" t="s">
        <v>125</v>
      </c>
      <c r="B67" s="18"/>
      <c r="C67" s="25"/>
      <c r="D67" s="121"/>
      <c r="E67" s="16"/>
      <c r="F67" s="16"/>
      <c r="G67" s="16"/>
      <c r="H67" s="25"/>
      <c r="I67" s="25"/>
      <c r="J67" s="25"/>
      <c r="K67" s="25"/>
      <c r="L67" s="36"/>
      <c r="M67" s="36"/>
      <c r="N67" s="25"/>
      <c r="O67" s="25"/>
      <c r="P67" s="26"/>
      <c r="Q67" s="11"/>
      <c r="R67" s="26"/>
      <c r="S67" s="26"/>
      <c r="T67" s="25"/>
      <c r="U67" s="1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43.5" customHeight="1">
      <c r="A68" s="22" t="s">
        <v>3</v>
      </c>
      <c r="B68" s="18" t="s">
        <v>71</v>
      </c>
      <c r="C68" s="25"/>
      <c r="D68" s="121"/>
      <c r="E68" s="106"/>
      <c r="F68" s="106"/>
      <c r="G68" s="28"/>
      <c r="H68" s="25"/>
      <c r="I68" s="106"/>
      <c r="J68" s="106"/>
      <c r="K68" s="106"/>
      <c r="L68" s="106"/>
      <c r="M68" s="106"/>
      <c r="N68" s="25"/>
      <c r="O68" s="25"/>
      <c r="P68" s="26"/>
      <c r="Q68" s="11"/>
      <c r="R68" s="26"/>
      <c r="S68" s="26"/>
      <c r="T68" s="25"/>
      <c r="U68" s="1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46.5" customHeight="1">
      <c r="A69" s="22" t="s">
        <v>4</v>
      </c>
      <c r="B69" s="18" t="s">
        <v>74</v>
      </c>
      <c r="C69" s="121"/>
      <c r="D69" s="121"/>
      <c r="E69" s="16"/>
      <c r="F69" s="16"/>
      <c r="G69" s="28"/>
      <c r="H69" s="16"/>
      <c r="I69" s="25"/>
      <c r="J69" s="135"/>
      <c r="K69" s="135"/>
      <c r="L69" s="136"/>
      <c r="M69" s="36"/>
      <c r="N69" s="16"/>
      <c r="O69" s="25"/>
      <c r="P69" s="26"/>
      <c r="Q69" s="11"/>
      <c r="R69" s="26"/>
      <c r="S69" s="26"/>
      <c r="T69" s="25"/>
      <c r="U69" s="1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43.5" customHeight="1">
      <c r="A70" s="22" t="s">
        <v>51</v>
      </c>
      <c r="B70" s="37"/>
      <c r="C70" s="36">
        <f aca="true" t="shared" si="10" ref="C70:I70">SUM(C54:C69)</f>
        <v>19917.86</v>
      </c>
      <c r="D70" s="121">
        <f t="shared" si="10"/>
        <v>149.39999999999998</v>
      </c>
      <c r="E70" s="36">
        <f t="shared" si="10"/>
        <v>0</v>
      </c>
      <c r="F70" s="36">
        <f t="shared" si="10"/>
        <v>0</v>
      </c>
      <c r="G70" s="36">
        <f t="shared" si="10"/>
        <v>1672.2716666666668</v>
      </c>
      <c r="H70" s="36">
        <f t="shared" si="10"/>
        <v>549.5999999999999</v>
      </c>
      <c r="I70" s="36">
        <f t="shared" si="10"/>
        <v>0</v>
      </c>
      <c r="J70" s="36"/>
      <c r="K70" s="36"/>
      <c r="L70" s="36"/>
      <c r="M70" s="36"/>
      <c r="N70" s="36">
        <f>SUM(N54:N69)</f>
        <v>99676.76954166667</v>
      </c>
      <c r="O70" s="36">
        <f>SUM(O54:O69)</f>
        <v>8371.404750916667</v>
      </c>
      <c r="P70" s="36">
        <f>SUM(P54:P69)</f>
        <v>1060.8891453333335</v>
      </c>
      <c r="Q70" s="36">
        <f>SUM(Q54:Q69)</f>
        <v>765.4087814333334</v>
      </c>
      <c r="R70" s="36">
        <f>SUM(R54:R69)</f>
        <v>10197.702677683334</v>
      </c>
      <c r="S70" s="36"/>
      <c r="T70" s="36">
        <f>SUM(T54:T69)</f>
        <v>1095.2112193750002</v>
      </c>
      <c r="U70" s="74">
        <f>SUM(U54:U69)</f>
        <v>110969.683438725</v>
      </c>
      <c r="V70" s="104">
        <f>N70+R70+T70</f>
        <v>110969.68343872501</v>
      </c>
      <c r="W70" s="10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7.25" customHeight="1">
      <c r="A71" s="19"/>
      <c r="B71" s="52"/>
      <c r="C71" s="27"/>
      <c r="D71" s="71"/>
      <c r="E71" s="27"/>
      <c r="F71" s="27"/>
      <c r="G71" s="11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32.25" customHeight="1">
      <c r="A72" s="34" t="s">
        <v>30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31"/>
      <c r="T72" s="30"/>
      <c r="U72" s="33">
        <f>U51-U70</f>
        <v>876410.8114361614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33" customHeight="1">
      <c r="A73" s="54" t="s">
        <v>136</v>
      </c>
      <c r="B73" s="54"/>
      <c r="C73" s="55"/>
      <c r="D73" s="151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6"/>
      <c r="S73" s="56"/>
      <c r="T73" s="55"/>
      <c r="U73" s="155">
        <v>919490.7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36" customHeight="1">
      <c r="A74" s="38" t="s">
        <v>10</v>
      </c>
      <c r="B74" s="39"/>
      <c r="C74" s="39"/>
      <c r="D74" s="152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  <c r="S74" s="40"/>
      <c r="T74" s="39"/>
      <c r="U74" s="154">
        <f>+U73-U72</f>
        <v>43079.888563838555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2.75">
      <c r="A75" s="7"/>
      <c r="B75" s="6"/>
      <c r="C75" s="6"/>
      <c r="D75" s="153"/>
      <c r="E75" s="6"/>
      <c r="F75" s="6"/>
      <c r="G75" s="117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7"/>
      <c r="T75" s="6"/>
      <c r="U75" s="7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2.75">
      <c r="A76" s="6"/>
      <c r="B76" s="6"/>
      <c r="C76" s="6"/>
      <c r="D76" s="28"/>
      <c r="E76" s="6"/>
      <c r="F76" s="6"/>
      <c r="G76" s="117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6"/>
      <c r="U76" s="7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6" t="s">
        <v>26</v>
      </c>
      <c r="B77" s="6"/>
      <c r="C77" s="6"/>
      <c r="D77" s="28"/>
      <c r="E77" s="6"/>
      <c r="F77" s="6"/>
      <c r="G77" s="117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6"/>
      <c r="U77" s="7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2.75">
      <c r="A78" s="6"/>
      <c r="B78" s="6"/>
      <c r="C78" s="6"/>
      <c r="D78" s="147"/>
      <c r="E78" s="6"/>
      <c r="F78" s="6"/>
      <c r="G78" s="117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6"/>
      <c r="U78" s="7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2.75">
      <c r="A79" s="6"/>
      <c r="B79" s="6"/>
      <c r="C79" s="6"/>
      <c r="D79" s="142">
        <f>11.39/36*18</f>
        <v>5.695</v>
      </c>
      <c r="E79" s="6"/>
      <c r="F79" s="6"/>
      <c r="G79" s="117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  <c r="S79" s="7"/>
      <c r="T79" s="6"/>
      <c r="U79" s="7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2.75">
      <c r="A80" s="6" t="s">
        <v>104</v>
      </c>
      <c r="B80" s="85">
        <f>N40+U39+U43+R40</f>
        <v>906154.2875179014</v>
      </c>
      <c r="C80" s="6"/>
      <c r="D80" s="148"/>
      <c r="E80" s="6"/>
      <c r="F80" s="6"/>
      <c r="G80" s="117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6"/>
      <c r="U80" s="7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2.75">
      <c r="A81" s="6" t="s">
        <v>105</v>
      </c>
      <c r="B81" s="85">
        <f>+N33+R33+T33+U50</f>
        <v>10000</v>
      </c>
      <c r="C81" s="6"/>
      <c r="D81" s="143">
        <f>10.78*11</f>
        <v>118.58</v>
      </c>
      <c r="E81" s="6"/>
      <c r="F81" s="6"/>
      <c r="G81" s="117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6"/>
      <c r="U81" s="7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2.75">
      <c r="A82" s="6" t="s">
        <v>106</v>
      </c>
      <c r="B82" s="85">
        <f>T40</f>
        <v>53965.384177984946</v>
      </c>
      <c r="C82" s="6"/>
      <c r="D82" s="145">
        <f>+D35*30.56%</f>
        <v>0</v>
      </c>
      <c r="E82" s="6"/>
      <c r="F82" s="6"/>
      <c r="G82" s="117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6"/>
      <c r="U82" s="7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7" t="s">
        <v>108</v>
      </c>
      <c r="B83" s="86">
        <f>SUM(B80:B82)</f>
        <v>970119.6716958863</v>
      </c>
      <c r="C83" s="6"/>
      <c r="D83" s="149"/>
      <c r="E83" s="6"/>
      <c r="F83" s="6"/>
      <c r="G83" s="117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7"/>
      <c r="T83" s="6"/>
      <c r="U83" s="7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2.75">
      <c r="A84" s="6"/>
      <c r="B84" s="6"/>
      <c r="C84" s="6"/>
      <c r="D84" s="145">
        <f>D82/36*8</f>
        <v>0</v>
      </c>
      <c r="E84" s="6"/>
      <c r="F84" s="6"/>
      <c r="G84" s="117"/>
      <c r="H84" s="6"/>
      <c r="I84" s="6"/>
      <c r="J84" s="6"/>
      <c r="K84" s="6"/>
      <c r="L84" s="6"/>
      <c r="M84" s="6"/>
      <c r="N84" s="6"/>
      <c r="O84" s="6"/>
      <c r="P84" s="6"/>
      <c r="Q84" s="107"/>
      <c r="R84" s="7"/>
      <c r="S84" s="7"/>
      <c r="T84" s="6"/>
      <c r="U84" s="7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2.75">
      <c r="A85" s="6" t="s">
        <v>107</v>
      </c>
      <c r="B85" s="6"/>
      <c r="C85" s="6"/>
      <c r="D85" s="121">
        <f>12.16*12</f>
        <v>145.92000000000002</v>
      </c>
      <c r="E85" s="6"/>
      <c r="F85" s="85"/>
      <c r="G85" s="117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7"/>
      <c r="T85" s="6"/>
      <c r="U85" s="7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2.75">
      <c r="A86" s="6"/>
      <c r="B86" s="6"/>
      <c r="C86" s="6"/>
      <c r="D86" s="121">
        <f>12.16*12</f>
        <v>145.92000000000002</v>
      </c>
      <c r="E86" s="6"/>
      <c r="F86" s="6"/>
      <c r="G86" s="117"/>
      <c r="H86" s="6"/>
      <c r="I86" s="6"/>
      <c r="J86" s="6"/>
      <c r="K86" s="6"/>
      <c r="L86" s="6"/>
      <c r="M86" s="6"/>
      <c r="N86" s="6" t="s">
        <v>23</v>
      </c>
      <c r="O86" s="6"/>
      <c r="P86" s="6"/>
      <c r="Q86" s="6"/>
      <c r="R86" s="7"/>
      <c r="S86" s="7"/>
      <c r="T86" s="6"/>
      <c r="U86" s="7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2.75">
      <c r="A87" s="6" t="s">
        <v>120</v>
      </c>
      <c r="B87" s="85">
        <f>N56+N57+N58+R56+R57+R58+12129.83</f>
        <v>41550.0729301</v>
      </c>
      <c r="C87" s="6"/>
      <c r="D87" s="121">
        <f>(12.16/36*24)*4</f>
        <v>32.42666666666667</v>
      </c>
      <c r="E87" s="6"/>
      <c r="F87" s="6"/>
      <c r="G87" s="117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7"/>
      <c r="T87" s="6"/>
      <c r="U87" s="7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2.75">
      <c r="A88" s="6" t="s">
        <v>105</v>
      </c>
      <c r="B88" s="85">
        <f>N65+R65+T65+N66+R66+T66</f>
        <v>0</v>
      </c>
      <c r="C88" s="6"/>
      <c r="D88" s="146"/>
      <c r="E88" s="6"/>
      <c r="F88" s="6"/>
      <c r="G88" s="117"/>
      <c r="H88" s="6"/>
      <c r="I88" s="6"/>
      <c r="J88" s="6"/>
      <c r="K88" s="6"/>
      <c r="L88" s="6"/>
      <c r="M88" s="6"/>
      <c r="N88" s="6"/>
      <c r="O88" s="6"/>
      <c r="P88" s="6"/>
      <c r="Q88" s="107"/>
      <c r="R88" s="7"/>
      <c r="S88" s="7"/>
      <c r="T88" s="6"/>
      <c r="U88" s="7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2.75">
      <c r="A89" s="6" t="s">
        <v>121</v>
      </c>
      <c r="B89" s="85">
        <f>T70+1030.97</f>
        <v>2126.181219375</v>
      </c>
      <c r="C89" s="6"/>
      <c r="D89" s="146">
        <f>(13.23/36*30)*12</f>
        <v>132.3</v>
      </c>
      <c r="E89" s="6"/>
      <c r="F89" s="6"/>
      <c r="G89" s="117"/>
      <c r="H89" s="6"/>
      <c r="I89" s="6"/>
      <c r="J89" s="6"/>
      <c r="K89" s="6"/>
      <c r="L89" s="6"/>
      <c r="M89" s="107">
        <f>+U33+U34</f>
        <v>0</v>
      </c>
      <c r="N89" s="6"/>
      <c r="O89" s="6"/>
      <c r="P89" s="6"/>
      <c r="Q89" s="6"/>
      <c r="R89" s="7"/>
      <c r="S89" s="7"/>
      <c r="T89" s="6"/>
      <c r="U89" s="7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2.75">
      <c r="A90" s="7" t="s">
        <v>109</v>
      </c>
      <c r="B90" s="86">
        <f>SUM(B87:B89)</f>
        <v>43676.254149475004</v>
      </c>
      <c r="C90" s="6"/>
      <c r="D90" s="146">
        <f>(12.16/36*30)*7</f>
        <v>70.93333333333334</v>
      </c>
      <c r="E90" s="6"/>
      <c r="F90" s="6"/>
      <c r="G90" s="117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6"/>
      <c r="U90" s="7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2.75">
      <c r="A91" s="6"/>
      <c r="B91" s="6"/>
      <c r="C91" s="6"/>
      <c r="D91" s="146"/>
      <c r="E91" s="6"/>
      <c r="F91" s="6"/>
      <c r="G91" s="117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7"/>
      <c r="T91" s="6"/>
      <c r="U91" s="7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2.75">
      <c r="A92" s="7" t="s">
        <v>113</v>
      </c>
      <c r="B92" s="86">
        <f>B83-B90</f>
        <v>926443.4175464113</v>
      </c>
      <c r="C92" s="6"/>
      <c r="D92" s="146"/>
      <c r="E92" s="6"/>
      <c r="F92" s="6"/>
      <c r="G92" s="117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6"/>
      <c r="U92" s="7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2.75">
      <c r="A93" s="6"/>
      <c r="B93" s="6"/>
      <c r="C93" s="6"/>
      <c r="D93" s="146"/>
      <c r="E93" s="6"/>
      <c r="F93" s="6"/>
      <c r="G93" s="117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7"/>
      <c r="T93" s="6"/>
      <c r="U93" s="7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2.75">
      <c r="A94" s="87" t="s">
        <v>110</v>
      </c>
      <c r="B94" s="88">
        <v>13160</v>
      </c>
      <c r="C94" s="6"/>
      <c r="D94" s="146"/>
      <c r="E94" s="6"/>
      <c r="F94" s="6"/>
      <c r="G94" s="117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7"/>
      <c r="T94" s="6"/>
      <c r="U94" s="7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3.5" thickBot="1">
      <c r="A95" s="89" t="s">
        <v>111</v>
      </c>
      <c r="B95" s="90">
        <f>13160-(13160*8.5/108.5)</f>
        <v>12129.032258064515</v>
      </c>
      <c r="C95" s="6"/>
      <c r="D95" s="143"/>
      <c r="E95" s="6"/>
      <c r="F95" s="6"/>
      <c r="G95" s="117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6"/>
      <c r="U95" s="7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26.25" thickBot="1">
      <c r="A96" s="89" t="s">
        <v>112</v>
      </c>
      <c r="B96" s="90">
        <f>B95*8.5%</f>
        <v>1030.967741935484</v>
      </c>
      <c r="C96" s="6"/>
      <c r="D96" s="36">
        <f>SUM(D73:D95)</f>
        <v>651.7750000000001</v>
      </c>
      <c r="E96" s="99" t="s">
        <v>118</v>
      </c>
      <c r="F96" s="95" t="s">
        <v>73</v>
      </c>
      <c r="G96" s="118" t="s">
        <v>115</v>
      </c>
      <c r="H96" s="96" t="s">
        <v>116</v>
      </c>
      <c r="I96" s="96" t="s">
        <v>70</v>
      </c>
      <c r="J96" s="95" t="s">
        <v>117</v>
      </c>
      <c r="K96" s="95" t="s">
        <v>78</v>
      </c>
      <c r="L96" s="95" t="s">
        <v>72</v>
      </c>
      <c r="M96" s="6"/>
      <c r="N96" s="6"/>
      <c r="O96" s="6"/>
      <c r="P96" s="6"/>
      <c r="Q96" s="6"/>
      <c r="R96" s="7"/>
      <c r="S96" s="7"/>
      <c r="T96" s="6"/>
      <c r="U96" s="7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12.75">
      <c r="A97" s="91"/>
      <c r="B97" s="92">
        <f>SUM(B95:B96)</f>
        <v>13160</v>
      </c>
      <c r="C97" s="6"/>
      <c r="D97" s="27"/>
      <c r="E97" s="94"/>
      <c r="F97" s="205">
        <f>E98</f>
        <v>12884.837875000001</v>
      </c>
      <c r="G97" s="212">
        <f>F97*0.238</f>
        <v>3066.59141425</v>
      </c>
      <c r="H97" s="214">
        <f>(A97)*0.8*0.036</f>
        <v>0</v>
      </c>
      <c r="I97" s="214">
        <f>F97*0.00606</f>
        <v>78.08211752250001</v>
      </c>
      <c r="J97" s="216">
        <f>SUM(G97:I97)</f>
        <v>3144.6735317725</v>
      </c>
      <c r="K97" s="225">
        <f>F97*0.085</f>
        <v>1095.2112193750002</v>
      </c>
      <c r="L97" s="227">
        <f>F97+J97+K97</f>
        <v>17124.7226261475</v>
      </c>
      <c r="M97" s="6"/>
      <c r="N97" s="6"/>
      <c r="O97" s="6"/>
      <c r="P97" s="6"/>
      <c r="Q97" s="6"/>
      <c r="R97" s="7"/>
      <c r="S97" s="7"/>
      <c r="T97" s="6"/>
      <c r="U97" s="7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13.5" thickBot="1">
      <c r="A98" s="6"/>
      <c r="B98" s="6"/>
      <c r="C98" s="6"/>
      <c r="D98" s="30"/>
      <c r="E98" s="94">
        <f>N6</f>
        <v>12884.837875000001</v>
      </c>
      <c r="F98" s="229"/>
      <c r="G98" s="213"/>
      <c r="H98" s="215"/>
      <c r="I98" s="215"/>
      <c r="J98" s="217"/>
      <c r="K98" s="226"/>
      <c r="L98" s="228"/>
      <c r="M98" s="6"/>
      <c r="N98" s="6"/>
      <c r="O98" s="6"/>
      <c r="P98" s="6"/>
      <c r="Q98" s="6"/>
      <c r="R98" s="7"/>
      <c r="S98" s="7"/>
      <c r="T98" s="6"/>
      <c r="U98" s="7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ht="12.75">
      <c r="A99" s="98" t="s">
        <v>114</v>
      </c>
      <c r="B99" s="6"/>
      <c r="C99" s="6"/>
      <c r="D99" s="55"/>
      <c r="E99" s="6"/>
      <c r="F99" s="6"/>
      <c r="G99" s="117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6"/>
      <c r="U99" s="7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ht="12.75">
      <c r="A100" s="93" t="s">
        <v>111</v>
      </c>
      <c r="B100" s="85">
        <f>E98</f>
        <v>12884.837875000001</v>
      </c>
      <c r="C100" s="6"/>
      <c r="D100" s="39"/>
      <c r="E100" s="206"/>
      <c r="F100" s="223"/>
      <c r="G100" s="224"/>
      <c r="H100" s="223"/>
      <c r="I100" s="206"/>
      <c r="J100" s="207"/>
      <c r="K100" s="208"/>
      <c r="L100" s="93"/>
      <c r="M100" s="6"/>
      <c r="N100" s="6"/>
      <c r="O100" s="6"/>
      <c r="P100" s="6"/>
      <c r="Q100" s="6"/>
      <c r="R100" s="7"/>
      <c r="S100" s="7"/>
      <c r="T100" s="6"/>
      <c r="U100" s="7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12.75">
      <c r="A101" s="93" t="s">
        <v>28</v>
      </c>
      <c r="B101" s="85">
        <f>J97</f>
        <v>3144.6735317725</v>
      </c>
      <c r="C101" s="6"/>
      <c r="D101" s="6"/>
      <c r="E101" s="206"/>
      <c r="F101" s="223"/>
      <c r="G101" s="224"/>
      <c r="H101" s="223"/>
      <c r="I101" s="206"/>
      <c r="J101" s="207"/>
      <c r="K101" s="208"/>
      <c r="L101" s="93"/>
      <c r="M101" s="6"/>
      <c r="N101" s="6"/>
      <c r="O101" s="6"/>
      <c r="P101" s="6"/>
      <c r="Q101" s="6"/>
      <c r="R101" s="7"/>
      <c r="S101" s="7"/>
      <c r="T101" s="6"/>
      <c r="U101" s="7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12.75">
      <c r="A102" s="93" t="s">
        <v>112</v>
      </c>
      <c r="B102" s="85">
        <f>K97</f>
        <v>1095.2112193750002</v>
      </c>
      <c r="C102" s="6"/>
      <c r="D102" s="6"/>
      <c r="E102" s="6"/>
      <c r="F102" s="6"/>
      <c r="G102" s="11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6"/>
      <c r="U102" s="7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12.75">
      <c r="A103" s="93" t="s">
        <v>119</v>
      </c>
      <c r="B103" s="97">
        <f>SUM(B100:B102)</f>
        <v>17124.7226261475</v>
      </c>
      <c r="C103" s="6"/>
      <c r="D103" s="6"/>
      <c r="E103" s="6"/>
      <c r="F103" s="6"/>
      <c r="G103" s="11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6"/>
      <c r="U103" s="7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ht="12.75">
      <c r="A104" s="6"/>
      <c r="B104" s="6"/>
      <c r="C104" s="6"/>
      <c r="D104" s="6"/>
      <c r="E104" s="6"/>
      <c r="F104" s="6"/>
      <c r="G104" s="11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6"/>
      <c r="U104" s="7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ht="12.75">
      <c r="A105" s="6"/>
      <c r="B105" s="6"/>
      <c r="C105" s="6"/>
      <c r="D105" s="6"/>
      <c r="E105" s="6"/>
      <c r="F105" s="6"/>
      <c r="G105" s="11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6"/>
      <c r="U105" s="7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12.75">
      <c r="A106" s="6"/>
      <c r="B106" s="6"/>
      <c r="C106" s="6"/>
      <c r="D106" s="6"/>
      <c r="E106" s="6"/>
      <c r="F106" s="6"/>
      <c r="G106" s="11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6"/>
      <c r="U106" s="7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ht="12.75">
      <c r="A107" s="6"/>
      <c r="B107" s="6"/>
      <c r="C107" s="6"/>
      <c r="D107" s="6"/>
      <c r="E107" s="6"/>
      <c r="F107" s="6"/>
      <c r="G107" s="11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6"/>
      <c r="U107" s="7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ht="12.75">
      <c r="A108" s="6"/>
      <c r="B108" s="6"/>
      <c r="C108" s="6"/>
      <c r="D108" s="6"/>
      <c r="E108" s="6"/>
      <c r="F108" s="6"/>
      <c r="G108" s="11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6"/>
      <c r="U108" s="7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ht="12.75">
      <c r="A109" s="6"/>
      <c r="B109" s="6"/>
      <c r="C109" s="6"/>
      <c r="D109" s="6"/>
      <c r="E109" s="6"/>
      <c r="F109" s="6"/>
      <c r="G109" s="11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6"/>
      <c r="U109" s="7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ht="12.75">
      <c r="A110" s="6"/>
      <c r="B110" s="6"/>
      <c r="C110" s="6"/>
      <c r="D110" s="6"/>
      <c r="E110" s="6"/>
      <c r="F110" s="6"/>
      <c r="G110" s="11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6"/>
      <c r="U110" s="7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ht="12.75">
      <c r="A111" s="6"/>
      <c r="B111" s="6"/>
      <c r="C111" s="6"/>
      <c r="D111" s="6"/>
      <c r="E111" s="6"/>
      <c r="F111" s="6"/>
      <c r="G111" s="11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6"/>
      <c r="U111" s="7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ht="12.75">
      <c r="A112" s="6"/>
      <c r="B112" s="6"/>
      <c r="C112" s="6"/>
      <c r="D112" s="6"/>
      <c r="E112" s="6"/>
      <c r="F112" s="6"/>
      <c r="G112" s="11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7"/>
      <c r="T112" s="6"/>
      <c r="U112" s="7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ht="12.75">
      <c r="A113" s="6"/>
      <c r="B113" s="6"/>
      <c r="C113" s="6"/>
      <c r="D113" s="6"/>
      <c r="E113" s="6"/>
      <c r="F113" s="6"/>
      <c r="G113" s="11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7"/>
      <c r="T113" s="6"/>
      <c r="U113" s="7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ht="12.75">
      <c r="A114" s="6"/>
      <c r="B114" s="6"/>
      <c r="C114" s="6"/>
      <c r="D114" s="6"/>
      <c r="E114" s="6"/>
      <c r="F114" s="6"/>
      <c r="G114" s="11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7"/>
      <c r="T114" s="6"/>
      <c r="U114" s="7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ht="12.75">
      <c r="A115" s="6"/>
      <c r="B115" s="6"/>
      <c r="C115" s="6"/>
      <c r="D115" s="6"/>
      <c r="E115" s="6"/>
      <c r="F115" s="6"/>
      <c r="G115" s="11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7"/>
      <c r="T115" s="6"/>
      <c r="U115" s="7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ht="12.75">
      <c r="A116" s="6"/>
      <c r="B116" s="6"/>
      <c r="C116" s="6"/>
      <c r="D116" s="6"/>
      <c r="E116" s="6"/>
      <c r="F116" s="6"/>
      <c r="G116" s="11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6"/>
      <c r="U116" s="7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ht="12.75">
      <c r="A117" s="6"/>
      <c r="B117" s="6"/>
      <c r="C117" s="6"/>
      <c r="D117" s="6"/>
      <c r="E117" s="6"/>
      <c r="F117" s="6"/>
      <c r="G117" s="11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/>
      <c r="S117" s="7"/>
      <c r="T117" s="6"/>
      <c r="U117" s="7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ht="12.75">
      <c r="A118" s="6"/>
      <c r="B118" s="6"/>
      <c r="C118" s="6"/>
      <c r="D118" s="6"/>
      <c r="E118" s="6"/>
      <c r="F118" s="6"/>
      <c r="G118" s="11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6"/>
      <c r="U118" s="7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ht="12.75">
      <c r="A119" s="6"/>
      <c r="B119" s="6"/>
      <c r="C119" s="6"/>
      <c r="D119" s="6"/>
      <c r="E119" s="6"/>
      <c r="F119" s="6"/>
      <c r="G119" s="11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/>
      <c r="S119" s="7"/>
      <c r="T119" s="6"/>
      <c r="U119" s="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ht="12.75">
      <c r="A120" s="6"/>
      <c r="B120" s="6"/>
      <c r="C120" s="6"/>
      <c r="D120" s="6"/>
      <c r="E120" s="6"/>
      <c r="F120" s="6"/>
      <c r="G120" s="11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6"/>
      <c r="U120" s="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ht="12.75">
      <c r="A121" s="6"/>
      <c r="B121" s="6"/>
      <c r="C121" s="6"/>
      <c r="D121" s="6"/>
      <c r="E121" s="6"/>
      <c r="F121" s="6"/>
      <c r="G121" s="11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/>
      <c r="S121" s="7"/>
      <c r="T121" s="6"/>
      <c r="U121" s="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ht="12.75">
      <c r="A122" s="6"/>
      <c r="B122" s="6"/>
      <c r="C122" s="6"/>
      <c r="D122" s="6"/>
      <c r="E122" s="6"/>
      <c r="F122" s="6"/>
      <c r="G122" s="11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/>
      <c r="T122" s="6"/>
      <c r="U122" s="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ht="12.75">
      <c r="A123" s="6"/>
      <c r="B123" s="6"/>
      <c r="C123" s="6"/>
      <c r="D123" s="6"/>
      <c r="E123" s="6"/>
      <c r="F123" s="6"/>
      <c r="G123" s="11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7"/>
      <c r="S123" s="7"/>
      <c r="T123" s="6"/>
      <c r="U123" s="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ht="12.75">
      <c r="A124" s="6"/>
      <c r="B124" s="6"/>
      <c r="C124" s="6"/>
      <c r="D124" s="6"/>
      <c r="E124" s="6"/>
      <c r="F124" s="6"/>
      <c r="G124" s="11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/>
      <c r="S124" s="7"/>
      <c r="T124" s="6"/>
      <c r="U124" s="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ht="12.75">
      <c r="A125" s="6"/>
      <c r="B125" s="6"/>
      <c r="C125" s="6"/>
      <c r="D125" s="6"/>
      <c r="E125" s="6"/>
      <c r="F125" s="6"/>
      <c r="G125" s="11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/>
      <c r="S125" s="7"/>
      <c r="T125" s="6"/>
      <c r="U125" s="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12.75">
      <c r="A126" s="6"/>
      <c r="B126" s="6"/>
      <c r="C126" s="6"/>
      <c r="D126" s="6"/>
      <c r="E126" s="6"/>
      <c r="F126" s="6"/>
      <c r="G126" s="11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7"/>
      <c r="S126" s="7"/>
      <c r="T126" s="6"/>
      <c r="U126" s="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2.75">
      <c r="A127" s="6"/>
      <c r="B127" s="6"/>
      <c r="C127" s="6"/>
      <c r="D127" s="6"/>
      <c r="E127" s="6"/>
      <c r="F127" s="6"/>
      <c r="G127" s="11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7"/>
      <c r="S127" s="7"/>
      <c r="T127" s="6"/>
      <c r="U127" s="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2.75">
      <c r="A128" s="6"/>
      <c r="B128" s="6"/>
      <c r="C128" s="6"/>
      <c r="D128" s="6"/>
      <c r="E128" s="6"/>
      <c r="F128" s="6"/>
      <c r="G128" s="11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"/>
      <c r="S128" s="7"/>
      <c r="T128" s="6"/>
      <c r="U128" s="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2.75">
      <c r="A129" s="6"/>
      <c r="B129" s="6"/>
      <c r="C129" s="6"/>
      <c r="D129" s="6"/>
      <c r="E129" s="6"/>
      <c r="F129" s="6"/>
      <c r="G129" s="11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7"/>
      <c r="S129" s="7"/>
      <c r="T129" s="6"/>
      <c r="U129" s="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2.75">
      <c r="A130" s="6"/>
      <c r="B130" s="6"/>
      <c r="C130" s="6"/>
      <c r="D130" s="6"/>
      <c r="E130" s="6"/>
      <c r="F130" s="6"/>
      <c r="G130" s="11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7"/>
      <c r="S130" s="7"/>
      <c r="T130" s="6"/>
      <c r="U130" s="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12.75">
      <c r="A131" s="6"/>
      <c r="B131" s="6"/>
      <c r="C131" s="6"/>
      <c r="D131" s="6"/>
      <c r="E131" s="6"/>
      <c r="F131" s="6"/>
      <c r="G131" s="11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7"/>
      <c r="S131" s="7"/>
      <c r="T131" s="6"/>
      <c r="U131" s="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2.75">
      <c r="A132" s="6"/>
      <c r="B132" s="6"/>
      <c r="C132" s="6"/>
      <c r="D132" s="6"/>
      <c r="E132" s="6"/>
      <c r="F132" s="6"/>
      <c r="G132" s="11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7"/>
      <c r="S132" s="7"/>
      <c r="T132" s="6"/>
      <c r="U132" s="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2.75">
      <c r="A133" s="6"/>
      <c r="B133" s="6"/>
      <c r="C133" s="6"/>
      <c r="D133" s="6"/>
      <c r="E133" s="6"/>
      <c r="F133" s="6"/>
      <c r="G133" s="11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/>
      <c r="S133" s="7"/>
      <c r="T133" s="6"/>
      <c r="U133" s="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2.75">
      <c r="A134" s="6"/>
      <c r="B134" s="6"/>
      <c r="C134" s="6"/>
      <c r="D134" s="6"/>
      <c r="E134" s="6"/>
      <c r="F134" s="6"/>
      <c r="G134" s="11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7"/>
      <c r="S134" s="7"/>
      <c r="T134" s="6"/>
      <c r="U134" s="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2.75">
      <c r="A135" s="6"/>
      <c r="B135" s="6"/>
      <c r="C135" s="6"/>
      <c r="D135" s="6"/>
      <c r="E135" s="6"/>
      <c r="F135" s="6"/>
      <c r="G135" s="11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7"/>
      <c r="S135" s="7"/>
      <c r="T135" s="6"/>
      <c r="U135" s="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2.75">
      <c r="A136" s="6"/>
      <c r="B136" s="6"/>
      <c r="C136" s="6"/>
      <c r="D136" s="6"/>
      <c r="E136" s="6"/>
      <c r="F136" s="6"/>
      <c r="G136" s="11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  <c r="S136" s="7"/>
      <c r="T136" s="6"/>
      <c r="U136" s="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2.75">
      <c r="A137" s="6"/>
      <c r="B137" s="6"/>
      <c r="C137" s="6"/>
      <c r="D137" s="6"/>
      <c r="E137" s="6"/>
      <c r="F137" s="6"/>
      <c r="G137" s="11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7"/>
      <c r="S137" s="7"/>
      <c r="T137" s="6"/>
      <c r="U137" s="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2.75">
      <c r="A138" s="6"/>
      <c r="B138" s="6"/>
      <c r="C138" s="6"/>
      <c r="D138" s="6"/>
      <c r="E138" s="6"/>
      <c r="F138" s="6"/>
      <c r="G138" s="11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"/>
      <c r="S138" s="7"/>
      <c r="T138" s="6"/>
      <c r="U138" s="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2.75">
      <c r="A139" s="6"/>
      <c r="B139" s="6"/>
      <c r="C139" s="6"/>
      <c r="D139" s="6"/>
      <c r="E139" s="6"/>
      <c r="F139" s="6"/>
      <c r="G139" s="11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7"/>
      <c r="S139" s="7"/>
      <c r="T139" s="6"/>
      <c r="U139" s="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2.75">
      <c r="A140" s="6"/>
      <c r="B140" s="6"/>
      <c r="C140" s="6"/>
      <c r="D140" s="6"/>
      <c r="E140" s="6"/>
      <c r="F140" s="6"/>
      <c r="G140" s="11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7"/>
      <c r="S140" s="7"/>
      <c r="T140" s="6"/>
      <c r="U140" s="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2.75">
      <c r="A141" s="6"/>
      <c r="B141" s="6"/>
      <c r="C141" s="6"/>
      <c r="D141" s="6"/>
      <c r="E141" s="6"/>
      <c r="F141" s="6"/>
      <c r="G141" s="11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7"/>
      <c r="S141" s="7"/>
      <c r="T141" s="6"/>
      <c r="U141" s="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2.75">
      <c r="A142" s="6"/>
      <c r="B142" s="6"/>
      <c r="C142" s="6"/>
      <c r="D142" s="6"/>
      <c r="E142" s="6"/>
      <c r="F142" s="6"/>
      <c r="G142" s="11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6"/>
      <c r="U142" s="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2.75">
      <c r="A143" s="6"/>
      <c r="B143" s="6"/>
      <c r="C143" s="6"/>
      <c r="D143" s="6"/>
      <c r="E143" s="6"/>
      <c r="F143" s="6"/>
      <c r="G143" s="11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7"/>
      <c r="S143" s="7"/>
      <c r="T143" s="6"/>
      <c r="U143" s="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ht="12.75">
      <c r="A144" s="6"/>
      <c r="B144" s="6"/>
      <c r="C144" s="6"/>
      <c r="D144" s="6"/>
      <c r="E144" s="6"/>
      <c r="F144" s="6"/>
      <c r="G144" s="11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7"/>
      <c r="S144" s="7"/>
      <c r="T144" s="6"/>
      <c r="U144" s="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2.75">
      <c r="A145" s="6"/>
      <c r="B145" s="6"/>
      <c r="C145" s="6"/>
      <c r="D145" s="6"/>
      <c r="E145" s="6"/>
      <c r="F145" s="6"/>
      <c r="G145" s="11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7"/>
      <c r="S145" s="7"/>
      <c r="T145" s="6"/>
      <c r="U145" s="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2.75">
      <c r="A146" s="6"/>
      <c r="B146" s="6"/>
      <c r="C146" s="6"/>
      <c r="D146" s="6"/>
      <c r="E146" s="6"/>
      <c r="F146" s="6"/>
      <c r="G146" s="11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"/>
      <c r="S146" s="7"/>
      <c r="T146" s="6"/>
      <c r="U146" s="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2.75">
      <c r="A147" s="6"/>
      <c r="B147" s="6"/>
      <c r="C147" s="6"/>
      <c r="D147" s="6"/>
      <c r="E147" s="6"/>
      <c r="F147" s="6"/>
      <c r="G147" s="11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7"/>
      <c r="S147" s="7"/>
      <c r="T147" s="6"/>
      <c r="U147" s="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2.75">
      <c r="A148" s="6"/>
      <c r="B148" s="6"/>
      <c r="C148" s="6"/>
      <c r="D148" s="6"/>
      <c r="E148" s="6"/>
      <c r="F148" s="6"/>
      <c r="G148" s="11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7"/>
      <c r="S148" s="7"/>
      <c r="T148" s="6"/>
      <c r="U148" s="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2.75">
      <c r="A149" s="6"/>
      <c r="B149" s="6"/>
      <c r="C149" s="6"/>
      <c r="D149" s="6"/>
      <c r="E149" s="6"/>
      <c r="F149" s="6"/>
      <c r="G149" s="11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7"/>
      <c r="S149" s="7"/>
      <c r="T149" s="6"/>
      <c r="U149" s="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2.75">
      <c r="A150" s="6"/>
      <c r="B150" s="6"/>
      <c r="C150" s="6"/>
      <c r="D150" s="6"/>
      <c r="E150" s="6"/>
      <c r="F150" s="6"/>
      <c r="G150" s="11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7"/>
      <c r="S150" s="7"/>
      <c r="T150" s="6"/>
      <c r="U150" s="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2.75">
      <c r="A151" s="6"/>
      <c r="B151" s="6"/>
      <c r="C151" s="6"/>
      <c r="D151" s="6"/>
      <c r="E151" s="6"/>
      <c r="F151" s="6"/>
      <c r="G151" s="11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7"/>
      <c r="S151" s="7"/>
      <c r="T151" s="6"/>
      <c r="U151" s="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2.75">
      <c r="A152" s="6"/>
      <c r="B152" s="6"/>
      <c r="C152" s="6"/>
      <c r="D152" s="6"/>
      <c r="E152" s="6"/>
      <c r="F152" s="6"/>
      <c r="G152" s="11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7"/>
      <c r="S152" s="7"/>
      <c r="T152" s="6"/>
      <c r="U152" s="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2.75">
      <c r="A153" s="6"/>
      <c r="B153" s="6"/>
      <c r="C153" s="6"/>
      <c r="D153" s="6"/>
      <c r="E153" s="6"/>
      <c r="F153" s="6"/>
      <c r="G153" s="11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7"/>
      <c r="S153" s="7"/>
      <c r="T153" s="6"/>
      <c r="U153" s="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2.75">
      <c r="A154" s="6"/>
      <c r="B154" s="6"/>
      <c r="C154" s="6"/>
      <c r="D154" s="6"/>
      <c r="E154" s="6"/>
      <c r="F154" s="6"/>
      <c r="G154" s="11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7"/>
      <c r="S154" s="7"/>
      <c r="T154" s="6"/>
      <c r="U154" s="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2.75">
      <c r="A155" s="6"/>
      <c r="B155" s="6"/>
      <c r="C155" s="6"/>
      <c r="D155" s="6"/>
      <c r="E155" s="6"/>
      <c r="F155" s="6"/>
      <c r="G155" s="11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/>
      <c r="S155" s="7"/>
      <c r="T155" s="6"/>
      <c r="U155" s="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2.75">
      <c r="A156" s="6"/>
      <c r="B156" s="6"/>
      <c r="C156" s="6"/>
      <c r="D156" s="6"/>
      <c r="E156" s="6"/>
      <c r="F156" s="6"/>
      <c r="G156" s="11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7"/>
      <c r="S156" s="7"/>
      <c r="T156" s="6"/>
      <c r="U156" s="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ht="12.75">
      <c r="A157" s="6"/>
      <c r="B157" s="6"/>
      <c r="C157" s="6"/>
      <c r="D157" s="6"/>
      <c r="E157" s="6"/>
      <c r="F157" s="6"/>
      <c r="G157" s="11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  <c r="S157" s="7"/>
      <c r="T157" s="6"/>
      <c r="U157" s="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ht="12.75">
      <c r="A158" s="6"/>
      <c r="B158" s="6"/>
      <c r="C158" s="6"/>
      <c r="D158" s="6"/>
      <c r="E158" s="6"/>
      <c r="F158" s="6"/>
      <c r="G158" s="11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7"/>
      <c r="S158" s="7"/>
      <c r="T158" s="6"/>
      <c r="U158" s="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ht="12.75">
      <c r="A159" s="6"/>
      <c r="B159" s="6"/>
      <c r="C159" s="6"/>
      <c r="D159" s="6"/>
      <c r="E159" s="6"/>
      <c r="F159" s="6"/>
      <c r="G159" s="11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7"/>
      <c r="S159" s="7"/>
      <c r="T159" s="6"/>
      <c r="U159" s="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2.75">
      <c r="A160" s="6"/>
      <c r="B160" s="6"/>
      <c r="C160" s="6"/>
      <c r="D160" s="6"/>
      <c r="E160" s="6"/>
      <c r="F160" s="6"/>
      <c r="G160" s="11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7"/>
      <c r="S160" s="7"/>
      <c r="T160" s="6"/>
      <c r="U160" s="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2.75">
      <c r="A161" s="6"/>
      <c r="B161" s="6"/>
      <c r="C161" s="6"/>
      <c r="D161" s="6"/>
      <c r="E161" s="6"/>
      <c r="F161" s="6"/>
      <c r="G161" s="11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7"/>
      <c r="S161" s="7"/>
      <c r="T161" s="6"/>
      <c r="U161" s="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2.75">
      <c r="A162" s="6"/>
      <c r="B162" s="6"/>
      <c r="C162" s="6"/>
      <c r="D162" s="6"/>
      <c r="E162" s="6"/>
      <c r="F162" s="6"/>
      <c r="G162" s="11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7"/>
      <c r="S162" s="7"/>
      <c r="T162" s="6"/>
      <c r="U162" s="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2.75">
      <c r="A163" s="6"/>
      <c r="B163" s="6"/>
      <c r="C163" s="6"/>
      <c r="D163" s="6"/>
      <c r="E163" s="6"/>
      <c r="F163" s="6"/>
      <c r="G163" s="11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7"/>
      <c r="S163" s="7"/>
      <c r="T163" s="6"/>
      <c r="U163" s="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2.75">
      <c r="A164" s="6"/>
      <c r="B164" s="6"/>
      <c r="C164" s="6"/>
      <c r="D164" s="6"/>
      <c r="E164" s="6"/>
      <c r="F164" s="6"/>
      <c r="G164" s="11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7"/>
      <c r="S164" s="7"/>
      <c r="T164" s="6"/>
      <c r="U164" s="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2.75">
      <c r="A165" s="6"/>
      <c r="B165" s="6"/>
      <c r="C165" s="6"/>
      <c r="D165" s="6"/>
      <c r="E165" s="6"/>
      <c r="F165" s="6"/>
      <c r="G165" s="11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7"/>
      <c r="S165" s="7"/>
      <c r="T165" s="6"/>
      <c r="U165" s="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2.75">
      <c r="A166" s="6"/>
      <c r="B166" s="6"/>
      <c r="C166" s="6"/>
      <c r="D166" s="6"/>
      <c r="E166" s="6"/>
      <c r="F166" s="6"/>
      <c r="G166" s="11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7"/>
      <c r="S166" s="7"/>
      <c r="T166" s="6"/>
      <c r="U166" s="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2.75">
      <c r="A167" s="6"/>
      <c r="B167" s="6"/>
      <c r="C167" s="6"/>
      <c r="D167" s="6"/>
      <c r="E167" s="6"/>
      <c r="F167" s="6"/>
      <c r="G167" s="11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7"/>
      <c r="S167" s="7"/>
      <c r="T167" s="6"/>
      <c r="U167" s="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2.75">
      <c r="A168" s="6"/>
      <c r="B168" s="6"/>
      <c r="C168" s="6"/>
      <c r="D168" s="6"/>
      <c r="E168" s="6"/>
      <c r="F168" s="6"/>
      <c r="G168" s="11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7"/>
      <c r="S168" s="7"/>
      <c r="T168" s="6"/>
      <c r="U168" s="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2.75">
      <c r="A169" s="6"/>
      <c r="B169" s="6"/>
      <c r="C169" s="6"/>
      <c r="D169" s="6"/>
      <c r="E169" s="6"/>
      <c r="F169" s="6"/>
      <c r="G169" s="11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7"/>
      <c r="S169" s="7"/>
      <c r="T169" s="6"/>
      <c r="U169" s="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2.75">
      <c r="A170" s="6"/>
      <c r="B170" s="6"/>
      <c r="C170" s="6"/>
      <c r="D170" s="6"/>
      <c r="E170" s="6"/>
      <c r="F170" s="6"/>
      <c r="G170" s="11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7"/>
      <c r="S170" s="7"/>
      <c r="T170" s="6"/>
      <c r="U170" s="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ht="12.75">
      <c r="A171" s="6"/>
      <c r="B171" s="6"/>
      <c r="C171" s="6"/>
      <c r="D171" s="6"/>
      <c r="E171" s="6"/>
      <c r="F171" s="6"/>
      <c r="G171" s="11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7"/>
      <c r="S171" s="7"/>
      <c r="T171" s="6"/>
      <c r="U171" s="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ht="12.75">
      <c r="A172" s="6"/>
      <c r="B172" s="6"/>
      <c r="C172" s="6"/>
      <c r="D172" s="6"/>
      <c r="E172" s="6"/>
      <c r="F172" s="6"/>
      <c r="G172" s="11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/>
      <c r="S172" s="7"/>
      <c r="T172" s="6"/>
      <c r="U172" s="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4:38" ht="12.75">
      <c r="D173" s="6"/>
      <c r="G173" s="117"/>
      <c r="R173" s="2"/>
      <c r="S173" s="2"/>
      <c r="U173" s="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4:38" ht="12.75">
      <c r="D174" s="6"/>
      <c r="G174" s="117"/>
      <c r="R174" s="2"/>
      <c r="S174" s="2"/>
      <c r="U174" s="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4:38" ht="12.75">
      <c r="D175" s="6"/>
      <c r="G175" s="117"/>
      <c r="R175" s="2"/>
      <c r="S175" s="2"/>
      <c r="U175" s="2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4:38" ht="12.75">
      <c r="D176" s="6"/>
      <c r="G176" s="117"/>
      <c r="R176" s="2"/>
      <c r="S176" s="2"/>
      <c r="U176" s="2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4:38" ht="12.75">
      <c r="D177" s="6"/>
      <c r="G177" s="117"/>
      <c r="R177" s="2"/>
      <c r="S177" s="2"/>
      <c r="U177" s="2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4:38" ht="12.75">
      <c r="D178" s="6"/>
      <c r="G178" s="117"/>
      <c r="R178" s="2"/>
      <c r="S178" s="2"/>
      <c r="U178" s="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4:38" ht="12.75">
      <c r="D179" s="6"/>
      <c r="G179" s="117"/>
      <c r="R179" s="2"/>
      <c r="S179" s="2"/>
      <c r="U179" s="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4:38" ht="12.75">
      <c r="D180" s="6"/>
      <c r="G180" s="117"/>
      <c r="R180" s="2"/>
      <c r="S180" s="2"/>
      <c r="U180" s="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4:38" ht="12.75">
      <c r="D181" s="6"/>
      <c r="G181" s="117"/>
      <c r="R181" s="2"/>
      <c r="S181" s="2"/>
      <c r="U181" s="2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4:38" ht="12.75">
      <c r="D182" s="6"/>
      <c r="G182" s="117"/>
      <c r="R182" s="2"/>
      <c r="S182" s="2"/>
      <c r="U182" s="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4:38" ht="12.75">
      <c r="D183" s="6"/>
      <c r="G183" s="117"/>
      <c r="R183" s="2"/>
      <c r="S183" s="2"/>
      <c r="U183" s="2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4:38" ht="12.75">
      <c r="D184" s="6"/>
      <c r="G184" s="117"/>
      <c r="R184" s="2"/>
      <c r="S184" s="2"/>
      <c r="U184" s="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4:38" ht="12.75">
      <c r="D185" s="6"/>
      <c r="G185" s="117"/>
      <c r="R185" s="2"/>
      <c r="S185" s="2"/>
      <c r="U185" s="2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4:38" ht="12.75">
      <c r="D186" s="6"/>
      <c r="G186" s="117"/>
      <c r="R186" s="2"/>
      <c r="S186" s="2"/>
      <c r="U186" s="2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4:38" ht="12.75">
      <c r="D187" s="6"/>
      <c r="G187" s="117"/>
      <c r="R187" s="2"/>
      <c r="S187" s="2"/>
      <c r="U187" s="2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4:38" ht="12.75">
      <c r="D188" s="6"/>
      <c r="G188" s="117"/>
      <c r="R188" s="2"/>
      <c r="S188" s="2"/>
      <c r="U188" s="2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4:38" ht="12.75">
      <c r="D189" s="6"/>
      <c r="G189" s="117"/>
      <c r="R189" s="2"/>
      <c r="S189" s="2"/>
      <c r="U189" s="2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4:38" ht="12.75">
      <c r="D190" s="6"/>
      <c r="G190" s="117"/>
      <c r="R190" s="2"/>
      <c r="S190" s="2"/>
      <c r="U190" s="2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4:38" ht="12.75">
      <c r="D191" s="6"/>
      <c r="G191" s="117"/>
      <c r="R191" s="2"/>
      <c r="S191" s="2"/>
      <c r="U191" s="2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4:38" ht="12.75">
      <c r="D192" s="6"/>
      <c r="G192" s="117"/>
      <c r="R192" s="2"/>
      <c r="S192" s="2"/>
      <c r="U192" s="2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4:38" ht="12.75">
      <c r="D193" s="6"/>
      <c r="G193" s="117"/>
      <c r="R193" s="2"/>
      <c r="S193" s="2"/>
      <c r="U193" s="2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4:38" ht="12.75">
      <c r="D194" s="6"/>
      <c r="G194" s="117"/>
      <c r="R194" s="2"/>
      <c r="S194" s="2"/>
      <c r="U194" s="2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4:38" ht="12.75">
      <c r="D195" s="6"/>
      <c r="G195" s="117"/>
      <c r="R195" s="2"/>
      <c r="S195" s="2"/>
      <c r="U195" s="2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4:38" ht="12.75">
      <c r="D196" s="6"/>
      <c r="G196" s="117"/>
      <c r="R196" s="2"/>
      <c r="S196" s="2"/>
      <c r="U196" s="2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4:38" ht="12.75">
      <c r="D197" s="6"/>
      <c r="G197" s="117"/>
      <c r="R197" s="2"/>
      <c r="S197" s="2"/>
      <c r="U197" s="2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7:38" ht="12.75">
      <c r="G198" s="117"/>
      <c r="R198" s="2"/>
      <c r="S198" s="2"/>
      <c r="U198" s="2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7:38" ht="12.75">
      <c r="G199" s="117"/>
      <c r="R199" s="2"/>
      <c r="S199" s="2"/>
      <c r="U199" s="2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7:38" ht="12.75">
      <c r="G200" s="117"/>
      <c r="R200" s="2"/>
      <c r="S200" s="2"/>
      <c r="U200" s="2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7:38" ht="12.75">
      <c r="G201" s="117"/>
      <c r="R201" s="2"/>
      <c r="S201" s="2"/>
      <c r="U201" s="2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7:38" ht="12.75">
      <c r="G202" s="117"/>
      <c r="R202" s="2"/>
      <c r="S202" s="2"/>
      <c r="U202" s="2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7:38" ht="12.75">
      <c r="G203" s="117"/>
      <c r="R203" s="2"/>
      <c r="S203" s="2"/>
      <c r="U203" s="2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7:38" ht="12.75">
      <c r="G204" s="117"/>
      <c r="R204" s="2"/>
      <c r="S204" s="2"/>
      <c r="U204" s="2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7:38" ht="12.75">
      <c r="G205" s="117"/>
      <c r="R205" s="2"/>
      <c r="S205" s="2"/>
      <c r="U205" s="2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7:38" ht="12.75">
      <c r="G206" s="117"/>
      <c r="R206" s="2"/>
      <c r="S206" s="2"/>
      <c r="U206" s="2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7:38" ht="12.75">
      <c r="G207" s="117"/>
      <c r="R207" s="2"/>
      <c r="S207" s="2"/>
      <c r="U207" s="2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7:38" ht="12.75">
      <c r="G208" s="117"/>
      <c r="R208" s="2"/>
      <c r="S208" s="2"/>
      <c r="U208" s="2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7:38" ht="12.75">
      <c r="G209" s="117"/>
      <c r="R209" s="2"/>
      <c r="S209" s="2"/>
      <c r="U209" s="2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7:38" ht="12.75">
      <c r="G210" s="117"/>
      <c r="R210" s="2"/>
      <c r="S210" s="2"/>
      <c r="U210" s="2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7:38" ht="12.75">
      <c r="G211" s="117"/>
      <c r="R211" s="2"/>
      <c r="S211" s="2"/>
      <c r="U211" s="2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7:38" ht="12.75">
      <c r="G212" s="117"/>
      <c r="R212" s="2"/>
      <c r="S212" s="2"/>
      <c r="U212" s="2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7:38" ht="12.75">
      <c r="G213" s="117"/>
      <c r="R213" s="2"/>
      <c r="S213" s="2"/>
      <c r="U213" s="2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7:38" ht="12.75">
      <c r="G214" s="117"/>
      <c r="R214" s="2"/>
      <c r="S214" s="2"/>
      <c r="U214" s="2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7:38" ht="12.75">
      <c r="G215" s="117"/>
      <c r="R215" s="2"/>
      <c r="S215" s="2"/>
      <c r="U215" s="2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7:38" ht="12.75">
      <c r="G216" s="117"/>
      <c r="R216" s="2"/>
      <c r="S216" s="2"/>
      <c r="U216" s="2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7:38" ht="12.75">
      <c r="G217" s="117"/>
      <c r="R217" s="2"/>
      <c r="S217" s="2"/>
      <c r="U217" s="2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7:38" ht="12.75">
      <c r="G218" s="117"/>
      <c r="R218" s="2"/>
      <c r="S218" s="2"/>
      <c r="U218" s="2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7:38" ht="12.75">
      <c r="G219" s="117"/>
      <c r="R219" s="2"/>
      <c r="S219" s="2"/>
      <c r="U219" s="2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7:38" ht="12.75">
      <c r="G220" s="117"/>
      <c r="R220" s="2"/>
      <c r="S220" s="2"/>
      <c r="U220" s="2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7:38" ht="12.75">
      <c r="G221" s="117"/>
      <c r="R221" s="2"/>
      <c r="S221" s="2"/>
      <c r="U221" s="2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7:38" ht="12.75">
      <c r="G222" s="117"/>
      <c r="R222" s="2"/>
      <c r="S222" s="2"/>
      <c r="U222" s="2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7:38" ht="12.75">
      <c r="G223" s="117"/>
      <c r="R223" s="2"/>
      <c r="S223" s="2"/>
      <c r="U223" s="2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7:38" ht="12.75">
      <c r="G224" s="117"/>
      <c r="R224" s="2"/>
      <c r="S224" s="2"/>
      <c r="U224" s="2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7:38" ht="12.75">
      <c r="G225" s="117"/>
      <c r="R225" s="2"/>
      <c r="S225" s="2"/>
      <c r="U225" s="2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7:38" ht="12.75">
      <c r="G226" s="117"/>
      <c r="R226" s="2"/>
      <c r="S226" s="2"/>
      <c r="U226" s="2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7:38" ht="12.75">
      <c r="G227" s="117"/>
      <c r="R227" s="2"/>
      <c r="S227" s="2"/>
      <c r="U227" s="2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7:38" ht="12.75">
      <c r="G228" s="117"/>
      <c r="R228" s="2"/>
      <c r="S228" s="2"/>
      <c r="U228" s="2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7:38" ht="12.75">
      <c r="G229" s="117"/>
      <c r="R229" s="2"/>
      <c r="S229" s="2"/>
      <c r="U229" s="2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7:38" ht="12.75">
      <c r="G230" s="117"/>
      <c r="R230" s="2"/>
      <c r="S230" s="2"/>
      <c r="U230" s="2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7:38" ht="12.75">
      <c r="G231" s="117"/>
      <c r="R231" s="2"/>
      <c r="S231" s="2"/>
      <c r="U231" s="2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7:38" ht="12.75">
      <c r="G232" s="117"/>
      <c r="R232" s="2"/>
      <c r="S232" s="2"/>
      <c r="U232" s="2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7:38" ht="12.75">
      <c r="G233" s="117"/>
      <c r="R233" s="2"/>
      <c r="S233" s="2"/>
      <c r="U233" s="2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7:38" ht="12.75">
      <c r="G234" s="117"/>
      <c r="R234" s="2"/>
      <c r="S234" s="2"/>
      <c r="U234" s="2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7:38" ht="12.75">
      <c r="G235" s="117"/>
      <c r="R235" s="2"/>
      <c r="S235" s="2"/>
      <c r="U235" s="2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7:38" ht="12.75">
      <c r="G236" s="117"/>
      <c r="R236" s="2"/>
      <c r="S236" s="2"/>
      <c r="U236" s="2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7:38" ht="12.75">
      <c r="G237" s="117"/>
      <c r="R237" s="2"/>
      <c r="S237" s="2"/>
      <c r="U237" s="2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7:38" ht="12.75">
      <c r="G238" s="117"/>
      <c r="R238" s="2"/>
      <c r="S238" s="2"/>
      <c r="U238" s="2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7:38" ht="12.75">
      <c r="G239" s="117"/>
      <c r="R239" s="2"/>
      <c r="S239" s="2"/>
      <c r="U239" s="2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7:38" ht="12.75">
      <c r="G240" s="117"/>
      <c r="R240" s="2"/>
      <c r="S240" s="2"/>
      <c r="U240" s="2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7:38" ht="12.75">
      <c r="G241" s="117"/>
      <c r="R241" s="2"/>
      <c r="S241" s="2"/>
      <c r="U241" s="2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7:38" ht="12.75">
      <c r="G242" s="117"/>
      <c r="R242" s="2"/>
      <c r="S242" s="2"/>
      <c r="U242" s="2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7:38" ht="12.75">
      <c r="G243" s="117"/>
      <c r="R243" s="2"/>
      <c r="S243" s="2"/>
      <c r="U243" s="2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7:38" ht="12.75">
      <c r="G244" s="117"/>
      <c r="R244" s="2"/>
      <c r="S244" s="2"/>
      <c r="U244" s="2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7:38" ht="12.75">
      <c r="G245" s="117"/>
      <c r="R245" s="2"/>
      <c r="S245" s="2"/>
      <c r="U245" s="2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7:38" ht="12.75">
      <c r="G246" s="117"/>
      <c r="R246" s="2"/>
      <c r="S246" s="2"/>
      <c r="U246" s="2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7:38" ht="12.75">
      <c r="G247" s="117"/>
      <c r="R247" s="2"/>
      <c r="S247" s="2"/>
      <c r="U247" s="2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7:38" ht="12.75">
      <c r="G248" s="117"/>
      <c r="R248" s="2"/>
      <c r="S248" s="2"/>
      <c r="U248" s="2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7:38" ht="12.75">
      <c r="G249" s="117"/>
      <c r="R249" s="2"/>
      <c r="S249" s="2"/>
      <c r="U249" s="2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7:38" ht="12.75">
      <c r="G250" s="117"/>
      <c r="R250" s="2"/>
      <c r="S250" s="2"/>
      <c r="U250" s="2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7:38" ht="12.75">
      <c r="G251" s="117"/>
      <c r="R251" s="2"/>
      <c r="S251" s="2"/>
      <c r="U251" s="2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7:38" ht="12.75">
      <c r="G252" s="117"/>
      <c r="R252" s="2"/>
      <c r="S252" s="2"/>
      <c r="U252" s="2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7:38" ht="12.75">
      <c r="G253" s="117"/>
      <c r="R253" s="2"/>
      <c r="S253" s="2"/>
      <c r="U253" s="2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7:38" ht="12.75">
      <c r="G254" s="117"/>
      <c r="R254" s="2"/>
      <c r="S254" s="2"/>
      <c r="U254" s="2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7:38" ht="12.75">
      <c r="G255" s="117"/>
      <c r="R255" s="2"/>
      <c r="S255" s="2"/>
      <c r="U255" s="2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7:38" ht="12.75">
      <c r="G256" s="117"/>
      <c r="R256" s="2"/>
      <c r="S256" s="2"/>
      <c r="U256" s="2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7:38" ht="12.75">
      <c r="G257" s="117"/>
      <c r="R257" s="2"/>
      <c r="S257" s="2"/>
      <c r="U257" s="2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7:38" ht="12.75">
      <c r="G258" s="117"/>
      <c r="R258" s="2"/>
      <c r="S258" s="2"/>
      <c r="U258" s="2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7:38" ht="12.75">
      <c r="G259" s="117"/>
      <c r="R259" s="2"/>
      <c r="S259" s="2"/>
      <c r="U259" s="2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7:38" ht="12.75">
      <c r="G260" s="117"/>
      <c r="R260" s="2"/>
      <c r="S260" s="2"/>
      <c r="U260" s="2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7:38" ht="12.75">
      <c r="G261" s="117"/>
      <c r="R261" s="2"/>
      <c r="S261" s="2"/>
      <c r="U261" s="2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7:38" ht="12.75">
      <c r="G262" s="117"/>
      <c r="R262" s="2"/>
      <c r="S262" s="2"/>
      <c r="U262" s="2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7:38" ht="12.75">
      <c r="G263" s="117"/>
      <c r="R263" s="2"/>
      <c r="S263" s="2"/>
      <c r="U263" s="2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7:38" ht="12.75">
      <c r="G264" s="117"/>
      <c r="R264" s="2"/>
      <c r="S264" s="2"/>
      <c r="U264" s="2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7:38" ht="12.75">
      <c r="G265" s="117"/>
      <c r="R265" s="2"/>
      <c r="S265" s="2"/>
      <c r="U265" s="2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7:38" ht="12.75">
      <c r="G266" s="117"/>
      <c r="R266" s="2"/>
      <c r="S266" s="2"/>
      <c r="U266" s="2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7:38" ht="12.75">
      <c r="G267" s="117"/>
      <c r="R267" s="2"/>
      <c r="S267" s="2"/>
      <c r="U267" s="2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7:38" ht="12.75">
      <c r="G268" s="117"/>
      <c r="R268" s="2"/>
      <c r="S268" s="2"/>
      <c r="U268" s="2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7:38" ht="12.75">
      <c r="G269" s="117"/>
      <c r="R269" s="2"/>
      <c r="S269" s="2"/>
      <c r="U269" s="2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7:38" ht="12.75">
      <c r="G270" s="117"/>
      <c r="R270" s="2"/>
      <c r="S270" s="2"/>
      <c r="U270" s="2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7:38" ht="12.75">
      <c r="G271" s="117"/>
      <c r="R271" s="2"/>
      <c r="S271" s="2"/>
      <c r="U271" s="2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7:38" ht="12.75">
      <c r="G272" s="117"/>
      <c r="R272" s="2"/>
      <c r="S272" s="2"/>
      <c r="U272" s="2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7:38" ht="12.75">
      <c r="G273" s="117"/>
      <c r="R273" s="2"/>
      <c r="S273" s="2"/>
      <c r="U273" s="2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7:38" ht="12.75">
      <c r="G274" s="117"/>
      <c r="R274" s="2"/>
      <c r="S274" s="2"/>
      <c r="U274" s="2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7:38" ht="12.75">
      <c r="G275" s="117"/>
      <c r="R275" s="2"/>
      <c r="S275" s="2"/>
      <c r="U275" s="2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7:38" ht="12.75">
      <c r="G276" s="117"/>
      <c r="R276" s="2"/>
      <c r="S276" s="2"/>
      <c r="U276" s="2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7:38" ht="12.75">
      <c r="G277" s="117"/>
      <c r="R277" s="2"/>
      <c r="S277" s="2"/>
      <c r="U277" s="2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7:38" ht="12.75">
      <c r="G278" s="117"/>
      <c r="R278" s="2"/>
      <c r="S278" s="2"/>
      <c r="U278" s="2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7:38" ht="12.75">
      <c r="G279" s="117"/>
      <c r="R279" s="2"/>
      <c r="S279" s="2"/>
      <c r="U279" s="2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7:38" ht="12.75">
      <c r="G280" s="117"/>
      <c r="R280" s="2"/>
      <c r="S280" s="2"/>
      <c r="U280" s="2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7:38" ht="12.75">
      <c r="G281" s="117"/>
      <c r="R281" s="2"/>
      <c r="S281" s="2"/>
      <c r="U281" s="2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7:38" ht="12.75">
      <c r="G282" s="117"/>
      <c r="R282" s="2"/>
      <c r="S282" s="2"/>
      <c r="U282" s="2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7:38" ht="12.75">
      <c r="G283" s="117"/>
      <c r="R283" s="2"/>
      <c r="S283" s="2"/>
      <c r="U283" s="2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7:38" ht="12.75">
      <c r="G284" s="117"/>
      <c r="R284" s="2"/>
      <c r="S284" s="2"/>
      <c r="U284" s="2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7:38" ht="12.75">
      <c r="G285" s="117"/>
      <c r="R285" s="2"/>
      <c r="S285" s="2"/>
      <c r="U285" s="2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7:38" ht="12.75">
      <c r="G286" s="117"/>
      <c r="R286" s="2"/>
      <c r="S286" s="2"/>
      <c r="U286" s="2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7:38" ht="12.75">
      <c r="G287" s="117"/>
      <c r="R287" s="2"/>
      <c r="S287" s="2"/>
      <c r="U287" s="2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7:38" ht="12.75">
      <c r="G288" s="117"/>
      <c r="R288" s="2"/>
      <c r="S288" s="2"/>
      <c r="U288" s="2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7:38" ht="12.75">
      <c r="G289" s="117"/>
      <c r="R289" s="2"/>
      <c r="S289" s="2"/>
      <c r="U289" s="2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7:38" ht="12.75">
      <c r="G290" s="117"/>
      <c r="R290" s="2"/>
      <c r="S290" s="2"/>
      <c r="U290" s="2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7:38" ht="12.75">
      <c r="G291" s="117"/>
      <c r="R291" s="2"/>
      <c r="S291" s="2"/>
      <c r="U291" s="2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</sheetData>
  <sheetProtection/>
  <mergeCells count="19">
    <mergeCell ref="K100:K101"/>
    <mergeCell ref="E100:E101"/>
    <mergeCell ref="F100:F101"/>
    <mergeCell ref="G100:G101"/>
    <mergeCell ref="H100:H101"/>
    <mergeCell ref="I100:I101"/>
    <mergeCell ref="J100:J101"/>
    <mergeCell ref="V5:W5"/>
    <mergeCell ref="U52:AL52"/>
    <mergeCell ref="L97:L98"/>
    <mergeCell ref="B53:U53"/>
    <mergeCell ref="F97:F98"/>
    <mergeCell ref="G97:G98"/>
    <mergeCell ref="H97:H98"/>
    <mergeCell ref="I97:I98"/>
    <mergeCell ref="J97:J98"/>
    <mergeCell ref="K97:K98"/>
    <mergeCell ref="E1:N1"/>
    <mergeCell ref="R2:U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0" r:id="rId1"/>
  <rowBreaks count="2" manualBreakCount="2">
    <brk id="25" max="20" man="1"/>
    <brk id="52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Santa Giusta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spesa personale 2010</dc:title>
  <dc:subject/>
  <dc:creator>claudio demartis</dc:creator>
  <cp:keywords/>
  <dc:description/>
  <cp:lastModifiedBy>silviaspiga</cp:lastModifiedBy>
  <cp:lastPrinted>2015-04-13T09:36:59Z</cp:lastPrinted>
  <dcterms:created xsi:type="dcterms:W3CDTF">2000-05-08T06:36:13Z</dcterms:created>
  <dcterms:modified xsi:type="dcterms:W3CDTF">2015-04-22T15:48:58Z</dcterms:modified>
  <cp:category/>
  <cp:version/>
  <cp:contentType/>
  <cp:contentStatus/>
</cp:coreProperties>
</file>