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activeTab="6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</sheets>
  <externalReferences>
    <externalReference r:id="rId10"/>
    <externalReference r:id="rId11"/>
  </externalReferences>
  <definedNames>
    <definedName name="_xlnm.Print_Area" localSheetId="0">'2011'!$A$1:$D$42</definedName>
    <definedName name="_xlnm.Print_Area" localSheetId="1">'2012'!$A$1:$D$43</definedName>
    <definedName name="_xlnm.Print_Area" localSheetId="2">'2013'!$A$1:$D$42</definedName>
    <definedName name="_xlnm.Print_Area" localSheetId="3">'2014'!$A$1:$D$49</definedName>
    <definedName name="_xlnm.Print_Area" localSheetId="4">'2015'!$A$1:$D$77</definedName>
    <definedName name="_xlnm.Print_Area" localSheetId="5">'2016'!$A$1:$D$50</definedName>
    <definedName name="_xlnm.Print_Area" localSheetId="6">'2017'!$A$1:$D$50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<sst xmlns="http://schemas.openxmlformats.org/spreadsheetml/2006/main" count="639" uniqueCount="167">
  <si>
    <t>-</t>
  </si>
  <si>
    <t>+</t>
  </si>
  <si>
    <t>Spese per formazione del personale</t>
  </si>
  <si>
    <t>Rimborsi per missioni</t>
  </si>
  <si>
    <t>Spese personale il cui costo sia a carico di finanziamenti comunitari o privati</t>
  </si>
  <si>
    <t>Spese per il personale</t>
  </si>
  <si>
    <t>Comuni soggetti al patto di stabilità</t>
  </si>
  <si>
    <t>Spese per assunzioni in deroga ai sensi dell'art. 3, comma 120, della Legge n. 244/2007 (effettuate prima del 31/05/2010)</t>
  </si>
  <si>
    <t>Spese per incentivi al personale per progettazione opere pubbliche, ICI, condoni, avvocatura</t>
  </si>
  <si>
    <t>Diritti di rogito spettanti al Segretario Comunale</t>
  </si>
  <si>
    <t>COMPONENTI CONSIDERATE PER LA DETERMINAZIONE DEL TETTO DI SPESA:</t>
  </si>
  <si>
    <t>di cui:</t>
  </si>
  <si>
    <t>Oneri riflessi a carico del datore di lavoro per contributi obbligatori</t>
  </si>
  <si>
    <t>Oneri per il nucleo familiare, buoni pasto (se contabilizzati nell'interv. 1) e spese per equo indennizzo</t>
  </si>
  <si>
    <t>Spese per il personale con contratti di formazione e lavoro</t>
  </si>
  <si>
    <t>Spese per personale utilizzato, senza estinzione del rapporto di pubblico impiego, in strutture e organismi variamente denominati partecipati o comunque facenti capo all'ente (compresi i consorzi, le comunità montane e le unioni di comuni)</t>
  </si>
  <si>
    <t>Retribuzioni lorde (trattamento fisso e accessorio) corrisposte al personale con contratto di lavoro a tempo indeterminato e determinato</t>
  </si>
  <si>
    <t xml:space="preserve">Rimborsi pagati per personale comandato da altre amministrazioni (se contabilizzati nell'interv. 1)                                                       </t>
  </si>
  <si>
    <t xml:space="preserve">Totale intervento 1 - Personale </t>
  </si>
  <si>
    <t xml:space="preserve">Rimborsi pagati per personale comandato da altre amministrazioni (se contabilizzati in un intervento diverso dall'1, come ad es. nell'interv. 5)                                                      </t>
  </si>
  <si>
    <t>Altre spese contabilizzate nell'intervento 1 (ad es. rimborsi per missioni, spese di formazione, ecc.)</t>
  </si>
  <si>
    <t>Irap</t>
  </si>
  <si>
    <t>TOTALE SPESA DI PERSONALE</t>
  </si>
  <si>
    <t>COMPONENTI ESCLUSE:</t>
  </si>
  <si>
    <t>TOTALE COMPONENTI ESCLUSE</t>
  </si>
  <si>
    <t>COMPONENTI ASSOGGETTATE AL LIMITE DI SPESA</t>
  </si>
  <si>
    <t>Spese sostenute dall'Ente per il personale in convenzione (ai sensi degli artt. 13 e 14 del CCNL 22/01/2004) per la quota parte di costo effettivamente sostenuto</t>
  </si>
  <si>
    <t>TOTALE PARZIALE (COMPONENTI SPESA PERSONALE CONTABILIZZATE NELLE SPESE CORRENTI)</t>
  </si>
  <si>
    <t>Spese derivanti dai rinnovi contrattuali in corso</t>
  </si>
  <si>
    <t>Spese per personale trasferito dalle Regioni o dallo Stato per l'esercizio di funzioni delegate</t>
  </si>
  <si>
    <t>Spese di personale per l'esecuzione delle operazioni censuarie degli enti individuati nel Piano generale di censimento nei limiti delle risorse trasferite dall'ISTAT (D.L. 78/2010, art. 50, commi 2 e 7)</t>
  </si>
  <si>
    <t>Impegni 2013 (da rendiconto)</t>
  </si>
  <si>
    <t>Margine di spesa ancora sostenibile nel 2014</t>
  </si>
  <si>
    <t>Oneri a carico del datore di lavoro per adesione al Fondo Perseo da parte dei dipendenti (delibera Corte dei conti Piemonte n. 380/2013)</t>
  </si>
  <si>
    <t>Altre spese non contabilizzate nelle spese correnti (ad es. spese elettorali rimborsate dallo Stato o da altri Enti pubblici, spese per censimento ISTAT, se contabilizzate a "partite di giro"; differenza spesa di personale "a regime" per sostituzioni in corso d'anno e per confronto dati omogenei di spesa, ecc.)</t>
  </si>
  <si>
    <t>Spese derivanti dai rinnovi contrattuali pregressi (compresi aumenti delle risorse stabili del fondo per la contrattazione decentrata)</t>
  </si>
  <si>
    <t>Spese per assunzione di lavoratori categorie protette (per la quota d'obbligo)</t>
  </si>
  <si>
    <t>Spese per straordinari ed altri oneri di personale rimborsati dallo Stato (dalla Regione o dalla Provincia) per attività elettorale</t>
  </si>
  <si>
    <t>Spese per assunzioni stagionali a progetto finalizzate al miglioramento della circolazione stradale e finanziate con i proventi delle violazioni al codice della strada (Circolare Ministero dell'Interno n. FL 05/2007 dell' 8 marzo 2007)</t>
  </si>
  <si>
    <t>Irap relativo alle spese di cui ai punti precedenti (non 8 perché versato direttamente dall'ente cui il personale è stato comandato e 9 perché le spese per le categorie protette non sono soggette a IRAP)</t>
  </si>
  <si>
    <t>Oneri riflessi relativi alle spese di cui ai punti precedenti</t>
  </si>
  <si>
    <t>Spese per incarichi ex artt. 90 e 110, commi 1 e 2 del TUEL</t>
  </si>
  <si>
    <t>Impegni 2011 (da rendiconto)</t>
  </si>
  <si>
    <t>Impegni 2012 (da rendiconto)</t>
  </si>
  <si>
    <t>MEDIA DEL TRIENNIO 2011-2012-2013</t>
  </si>
  <si>
    <t>Per gli Enti con popolazione compresa tra 1001 e 5000 abitanti: spese di personale stagionale assunto con contratto a tempo determinato, necessarie a garantire l'esercizio delle funzioni di polizia locale in ragione di motivate caratteristiche socio-economiche e territoriali connesse a significative presenze di turisti (art. 11, comma 4-quater, D.L. n. 90/2014)</t>
  </si>
  <si>
    <t xml:space="preserve">                                                                                                             </t>
  </si>
  <si>
    <t>L'ente rispetta il vincolo relativo al contenimento della spesa di personale ?</t>
  </si>
  <si>
    <t>Spese per collaborazioni coordinate e continuative, altre forme di lavoro flessibile (es. interinali, tirocini, ecc.), con convenzioni, LSU, buoni lavoro art. 70 D.Lgs. 276/2003 (se contabilizzate nell'interv. 1)</t>
  </si>
  <si>
    <t>Spese per collaborazioni coordinate e continuative, altre forme di lavoro flessibile (es. interinali, tirocini, ecc.), con convenzioni, LSU, buoni lavoro art. 70 D.Lgs. 276/2003 (se contabilizzate in un intervento diverso dall'1, come ad es. nell'interv. 3)</t>
  </si>
  <si>
    <t>ok</t>
  </si>
  <si>
    <t>assegni</t>
  </si>
  <si>
    <t xml:space="preserve">al netto delLA RETRIBUZIONE DELLA DOTTSSA LOMBARDO </t>
  </si>
  <si>
    <t>contiene rimborsi ras cantiere (retribuzione +contributi+irap)</t>
  </si>
  <si>
    <t>al netto delLA RETRIBUZIONE DELLA DOTTSSA LOMBARDO (COMPRENSIVA DI INDENNITà E CONTRIBUTI), dell'inail povertà estreme e del fno mobilità segretari</t>
  </si>
  <si>
    <t>al netto delLA RETRIBUZIONE DELLA DOTTSSA LOMBARDO (COMPRENSIVA DI INDENNITà) e dei rinnovi contrattuali Demartis</t>
  </si>
  <si>
    <t>Spese personale il cui costo sia a carico di finanziamenti comunitari o privati (cantiere)</t>
  </si>
  <si>
    <t>CATEGORIE PROTETTE+DIRITTI ROGITO+progettazione</t>
  </si>
  <si>
    <t>comprende oneri riflessi</t>
  </si>
  <si>
    <t>al netto dei contributi e dell'irap</t>
  </si>
  <si>
    <r>
      <rPr>
        <b/>
        <sz val="10"/>
        <rFont val="Arial"/>
        <family val="2"/>
      </rPr>
      <t>Oneri per il nucleo familiare</t>
    </r>
    <r>
      <rPr>
        <sz val="10"/>
        <rFont val="Arial"/>
        <family val="2"/>
      </rPr>
      <t>, buoni pasto (se contabilizzati nell'interv. 1) e spese per equo indennizzo</t>
    </r>
  </si>
  <si>
    <t>Spese per collaborazioni coordinate e continuative, altre forme di lavoro flessibile (es. inteinali, tirocini, ecc.), con convenzioni, LSU, buoni lavoro art. 70 D.Lgs. 276/2003 (se contabilizzate nell'interv. 1)</t>
  </si>
  <si>
    <t>manca inail</t>
  </si>
  <si>
    <t xml:space="preserve">al netto delLA RETRIBUZIONE DELLA DOTTSSA LOMBARDO (COMPRENSIVA DI INDENNITà) </t>
  </si>
  <si>
    <t>comprende anche irap cococo e lombardo</t>
  </si>
  <si>
    <t>(nella progettazione stiamo inserendo la cassa e non l impegnato)</t>
  </si>
  <si>
    <t>HO PAGATO IRAP CATEGORIE PROTETTE E RECUPERATO IN SEDE DI DICHIARAZIONE IRAP (INOLTRE COMPRENDE ANCHE IRAP INCENTIVI)</t>
  </si>
  <si>
    <t>comprende oneri riflessi+irap</t>
  </si>
  <si>
    <t>COMPRENDE IRAP INCENTIVI E IRAP rogito</t>
  </si>
  <si>
    <t>LOMBARDO al netto dell irap</t>
  </si>
  <si>
    <t>Altre spese contabilizzate in interventi diversi dall'intervento 1 (ad es. rimborsi per missioni, spese di formazione, buoni pasto, Straordinario elettorale, progettazione, ecc.)</t>
  </si>
  <si>
    <t>Spese per collaborazioni coordinate e continuative, altre forme di lavoro flessibile (es. interinali, tirocini, cantiere ecc.), con convenzioni, LSU, buoni lavoro art. 70 D.Lgs. 276/2003 (se contabilizzate in un intervento diverso dall'1, come ad es. nell'interv. 3)</t>
  </si>
  <si>
    <t>cococo+ cantiere</t>
  </si>
  <si>
    <t>Spese per collaborazioni coordinate e continuative, altre forme di lavoro flessibile (es. interinali, tirocini, cantiere,ecc.), con convenzioni, LSU, buoni lavoro art. 70 D.Lgs. 276/2003 (se contabilizzate in un intervento diverso dall'1, come ad es. nell'interv. 3)</t>
  </si>
  <si>
    <t>Altre spese contabilizzate in interventi diversi dall'intervento 1 (ad es. mensa, rimborsi per missioni, spese di formazione, straordinario elettorale, compensi per indagini statistiche, progettazione)</t>
  </si>
  <si>
    <t>cantiere</t>
  </si>
  <si>
    <t>Altre spese contabilizzate in interventi diversi dall'intervento 1 (ad es. rimborsi per missioni, spese di formazione, buoni pasto, elezioni politiche, referendum e parlamento europeo, progettazione)</t>
  </si>
  <si>
    <t>comprende anche irap  lombardo</t>
  </si>
  <si>
    <t>comprende oneri cat protette</t>
  </si>
  <si>
    <t>al netto dell'irap e degli oneri riflessi</t>
  </si>
  <si>
    <t>al netto degli oneri riflessi</t>
  </si>
  <si>
    <t>Spese personale il cui costo sia a carico di finanziamenti comunitari o privati,  (cantiere )</t>
  </si>
  <si>
    <t>al netto delLA RETRIBUZIONE DELLA DOTTSSA LOMBARDO (COMPRENSIVA DI INDENNITà E CONTRIBUTI in quanto inserita solo quota parte di competenza, dell'inail povertà estreme e del fondo mobilità segretari</t>
  </si>
  <si>
    <t>al netto delLA RETRIBUZIONE DELLA DOTTSSA LOMBARDO (COMPRENSIVA DI INDENNITà E CONTRIBUTI) in quanto inserita solo quota parte di competenza, dell'inail povertà estreme</t>
  </si>
  <si>
    <t>LOMBARDO al netto dell'irap</t>
  </si>
  <si>
    <t xml:space="preserve">Costo personale comandato ad altre amministrazioni (e da queste rimborsato) segreteria convenzionata                                                 </t>
  </si>
  <si>
    <t>al netto degli oneri</t>
  </si>
  <si>
    <t>Altre spese contabilizzate in interventi diversi dall'intervento 1 (ad es. rimborsi per missioni, spese di formazione, buoni pasto, spese per elezioni, istat ecc.)</t>
  </si>
  <si>
    <t>oneri cat protette+ rogito</t>
  </si>
  <si>
    <t>progettazione+rogito</t>
  </si>
  <si>
    <t>istat comprensivo di oneri e irap</t>
  </si>
  <si>
    <t>non posso considerare qui le previsioni perché la stagione turistica è terminata e l'assunzione avviene dopo</t>
  </si>
  <si>
    <t>Stanziamenti 2015 (da previsione)</t>
  </si>
  <si>
    <t>Margine di spesa ancora sostenibile nel 2015</t>
  </si>
  <si>
    <t>Stanziamenti 2016 (da previsione)</t>
  </si>
  <si>
    <t>Margine di spesa ancora sostenibile nel 2016</t>
  </si>
  <si>
    <t>cat. protette + rogito</t>
  </si>
  <si>
    <t>cat.protette+rogito</t>
  </si>
  <si>
    <t>comprensivo di oneri e irap</t>
  </si>
  <si>
    <t>al netto oneri</t>
  </si>
  <si>
    <t>segreteria:</t>
  </si>
  <si>
    <t>1010201/16 6000,00 euro</t>
  </si>
  <si>
    <t>1010201/17 2000,00 euro</t>
  </si>
  <si>
    <t>1010207/7 200,00 euro</t>
  </si>
  <si>
    <t>ufficio tecnico:</t>
  </si>
  <si>
    <t>1010601/4 4000 euro</t>
  </si>
  <si>
    <t>1010601/5 1400 euro</t>
  </si>
  <si>
    <t>1010607/ 3 120 euro</t>
  </si>
  <si>
    <t>istruttore amm.vo dal 01/08/2014 al 31/12/2014 24 ore</t>
  </si>
  <si>
    <t>vigili</t>
  </si>
  <si>
    <t>1030101/7 15500 euro</t>
  </si>
  <si>
    <t>1010301/8 5000 euro</t>
  </si>
  <si>
    <t>1010307/5 450 euro</t>
  </si>
  <si>
    <t>due istruttori vigili per 30 ore dal 01/08/2014 al 31/12/2014</t>
  </si>
  <si>
    <t>cococo museo</t>
  </si>
  <si>
    <t>assunzioni a tempo determinato</t>
  </si>
  <si>
    <t>due istruttori vigili per 30 ore dal 01/01/2015 al 31/05/2015- trasformati in un vigile 24 ore da gennaio a dicembre</t>
  </si>
  <si>
    <t>istruttore amm.vo dal 01/01/2015 al 31/05/2015 24 ore</t>
  </si>
  <si>
    <t>VIGILI IN PRESTITO</t>
  </si>
  <si>
    <t>1030101/5€ 500,00</t>
  </si>
  <si>
    <t>1030101/6 € 200</t>
  </si>
  <si>
    <t>1030107/3 € 20,00</t>
  </si>
  <si>
    <t>1030105/2 € 1.000,00</t>
  </si>
  <si>
    <t xml:space="preserve">1030105/2  </t>
  </si>
  <si>
    <t>previsione come da fondo decentrato (compresi oneri riflessi)</t>
  </si>
  <si>
    <t>Altre spese contabilizzate in interventi diversi dall'intervento 1 (ad es. rimborsi per missioni, spese di formazione, buoni pasto, spese per elezioni, istat, incentivi ecc.)</t>
  </si>
  <si>
    <t>Irap (compresa 20 euro per vigili in prestito)</t>
  </si>
  <si>
    <t>vigili in prestito al netto dell'irap</t>
  </si>
  <si>
    <t>compresi oneri riflessi e irap</t>
  </si>
  <si>
    <t>rogito+incentivi</t>
  </si>
  <si>
    <t>rogito+progettazioni</t>
  </si>
  <si>
    <t>considera che non ho considerato 500 euro di vigili in prestito perché inseritiriga 16</t>
  </si>
  <si>
    <t>considera che non ho considerato 200 euro di vigili in prestito perché inseritiriga 16</t>
  </si>
  <si>
    <t xml:space="preserve">Costo personale comandato ad altre amministrazioni (e da queste rimborsato)                             </t>
  </si>
  <si>
    <t xml:space="preserve">Costo personale comandato ad altre amministrazioni (e da queste rimborsato)                         </t>
  </si>
  <si>
    <t xml:space="preserve">Costo personale comandato ad altre amministrazioni (e da queste rimborsato)                                  </t>
  </si>
  <si>
    <t xml:space="preserve">Costo personale comandato ad altre amministrazioni (e da queste rimborsato)                                          </t>
  </si>
  <si>
    <t xml:space="preserve">Costo personale comandato ad altre amministrazioni (e da queste rimborsato)                                             </t>
  </si>
  <si>
    <t>ALLEGATO A DET 82/2014</t>
  </si>
  <si>
    <t>1050101/7 € 0,00</t>
  </si>
  <si>
    <t>1050107/2 € 0,00</t>
  </si>
  <si>
    <t>1010601/4 3500 euro</t>
  </si>
  <si>
    <t>1010601/5 1100 euro</t>
  </si>
  <si>
    <t>istruttore direttivo tecnico 18 ore dal 01/09/2014 al 31/12/2014- ridotto previsioni perché non ha preso servizio</t>
  </si>
  <si>
    <t>compresi oneri riflessi (tranne irap)</t>
  </si>
  <si>
    <t>(compresi oneri e irap)</t>
  </si>
  <si>
    <t>(al netto oneri)</t>
  </si>
  <si>
    <t>(compresi oneri riflessi tranne irap)</t>
  </si>
  <si>
    <t>(al netto di oneri e irap)</t>
  </si>
  <si>
    <t>Stanziamenti 2017 (da previsione)</t>
  </si>
  <si>
    <t>Margine di spesa ancora sostenibile nel 2017</t>
  </si>
  <si>
    <t>1030101/5 € 500,00</t>
  </si>
  <si>
    <t>1030105/2 € 1000,00</t>
  </si>
  <si>
    <t>vigili in prestito+cantiere (COMPRESA QUOTA ENTE 1090603/6 )</t>
  </si>
  <si>
    <t>vigili in prestito al lordo dell'irap</t>
  </si>
  <si>
    <t>non ho considerato 500 euro di vigili in prestito perché inseriti riga 16</t>
  </si>
  <si>
    <t>non ho considerato 200 euro di vigili in prestito perché inseritiriga 16</t>
  </si>
  <si>
    <t>rimborso vigli in prestito</t>
  </si>
  <si>
    <t>vigili in prestito</t>
  </si>
  <si>
    <t>Stanziamenti 2014 (IMPEGNI)</t>
  </si>
  <si>
    <t>al netto  RETRIBUZIONE DELLA DOTTSSA LOMBARDO (COMPRENSIVA DI INDENNITà E CONTRIBUTI) in quanto inserita solo quota competenza</t>
  </si>
  <si>
    <t>comprende impegno vigili in prestito+PERSONALE TD SEGRETERIA</t>
  </si>
  <si>
    <t>1010207/7 550,00 euro</t>
  </si>
  <si>
    <t>1010607/3 350 euro</t>
  </si>
  <si>
    <t>1010307/5 1500 euro</t>
  </si>
  <si>
    <t>1030107/3 € 50,00</t>
  </si>
  <si>
    <t>Allegato 6A det 38/2015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</si>
</sst>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8"/>
      <name val="Cambria"/>
      <family val="2"/>
    </font>
    <font>
      <b/>
      <sz val="15"/>
      <color indexed="28"/>
      <name val="Calibri"/>
      <family val="2"/>
    </font>
    <font>
      <b/>
      <sz val="13"/>
      <color indexed="28"/>
      <name val="Calibri"/>
      <family val="2"/>
    </font>
    <font>
      <b/>
      <sz val="11"/>
      <color indexed="2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/>
      <right style="thin"/>
      <top style="thin"/>
      <bottom style="thin"/>
    </border>
    <border>
      <left style="thin">
        <color indexed="28"/>
      </left>
      <right style="thin">
        <color indexed="28"/>
      </right>
      <top/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medium"/>
      <right style="thin">
        <color indexed="28"/>
      </right>
      <top/>
      <bottom style="thin">
        <color indexed="28"/>
      </bottom>
    </border>
    <border>
      <left style="thin">
        <color indexed="28"/>
      </left>
      <right style="medium"/>
      <top/>
      <bottom style="thin">
        <color indexed="28"/>
      </bottom>
    </border>
    <border>
      <left style="medium"/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 style="medium"/>
      <top style="thin">
        <color indexed="28"/>
      </top>
      <bottom style="thin">
        <color indexed="28"/>
      </bottom>
    </border>
    <border>
      <left style="thin"/>
      <right style="medium"/>
      <top style="thin"/>
      <bottom style="thin"/>
    </border>
    <border>
      <left/>
      <right style="thin">
        <color indexed="28"/>
      </right>
      <top/>
      <bottom style="thin">
        <color indexed="28"/>
      </bottom>
    </border>
    <border>
      <left/>
      <right style="thin">
        <color indexed="28"/>
      </right>
      <top style="thin">
        <color indexed="28"/>
      </top>
      <bottom style="thin">
        <color indexed="28"/>
      </bottom>
    </border>
    <border>
      <left style="medium"/>
      <right style="thin">
        <color indexed="28"/>
      </right>
      <top/>
      <bottom/>
    </border>
    <border>
      <left/>
      <right/>
      <top style="thin"/>
      <bottom style="thin"/>
    </border>
    <border>
      <left style="thin"/>
      <right style="thin">
        <color indexed="28"/>
      </right>
      <top style="thin">
        <color indexed="28"/>
      </top>
      <bottom style="thin">
        <color indexed="28"/>
      </bottom>
    </border>
    <border>
      <left/>
      <right style="thin">
        <color indexed="28"/>
      </right>
      <top style="thin">
        <color indexed="28"/>
      </top>
      <bottom/>
    </border>
    <border>
      <left style="thin">
        <color indexed="56"/>
      </left>
      <right style="medium"/>
      <top/>
      <bottom/>
    </border>
    <border>
      <left style="thin">
        <color indexed="28"/>
      </left>
      <right style="thin">
        <color indexed="28"/>
      </right>
      <top/>
      <bottom/>
    </border>
    <border>
      <left style="thin"/>
      <right style="thin">
        <color indexed="28"/>
      </right>
      <top style="thin">
        <color indexed="2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8"/>
      </right>
      <top style="thin"/>
      <bottom style="thin">
        <color indexed="28"/>
      </bottom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>
        <color indexed="2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1" applyNumberFormat="0" applyAlignment="0" applyProtection="0"/>
    <xf numFmtId="0" fontId="16" fillId="0" borderId="2" applyNumberFormat="0" applyFill="0" applyAlignment="0" applyProtection="0"/>
    <xf numFmtId="0" fontId="17" fillId="14" borderId="3" applyNumberFormat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8" fillId="1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0" fillId="21" borderId="4" applyNumberFormat="0" applyFont="0" applyAlignment="0" applyProtection="0"/>
    <xf numFmtId="0" fontId="20" fillId="13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2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12" borderId="21" xfId="0" applyFont="1" applyFill="1" applyBorder="1" applyAlignment="1" applyProtection="1">
      <alignment horizontal="center" vertical="center"/>
      <protection locked="0"/>
    </xf>
    <xf numFmtId="0" fontId="4" fillId="12" borderId="1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 quotePrefix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4" fontId="2" fillId="13" borderId="24" xfId="0" applyNumberFormat="1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 wrapText="1"/>
      <protection hidden="1"/>
    </xf>
    <xf numFmtId="4" fontId="2" fillId="13" borderId="10" xfId="0" applyNumberFormat="1" applyFont="1" applyFill="1" applyBorder="1" applyAlignment="1" applyProtection="1">
      <alignment horizontal="center" vertical="center"/>
      <protection hidden="1"/>
    </xf>
    <xf numFmtId="0" fontId="4" fillId="12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 quotePrefix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4" fontId="2" fillId="13" borderId="17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23" borderId="15" xfId="0" applyFont="1" applyFill="1" applyBorder="1" applyAlignment="1" applyProtection="1">
      <alignment horizontal="center" vertical="center"/>
      <protection locked="0"/>
    </xf>
    <xf numFmtId="0" fontId="8" fillId="23" borderId="10" xfId="0" applyFont="1" applyFill="1" applyBorder="1" applyAlignment="1" applyProtection="1">
      <alignment horizontal="center" vertical="center" wrapText="1"/>
      <protection hidden="1"/>
    </xf>
    <xf numFmtId="4" fontId="0" fillId="23" borderId="17" xfId="0" applyNumberFormat="1" applyFont="1" applyFill="1" applyBorder="1" applyAlignment="1" applyProtection="1">
      <alignment horizontal="center" vertical="center"/>
      <protection locked="0"/>
    </xf>
    <xf numFmtId="0" fontId="0" fillId="23" borderId="30" xfId="0" applyFont="1" applyFill="1" applyBorder="1" applyAlignment="1" applyProtection="1">
      <alignment horizontal="justify" vertical="center" wrapText="1"/>
      <protection locked="0"/>
    </xf>
    <xf numFmtId="0" fontId="0" fillId="0" borderId="11" xfId="0" applyFont="1" applyFill="1" applyBorder="1" applyAlignment="1" applyProtection="1">
      <alignment horizontal="justify" vertical="center" wrapText="1"/>
      <protection locked="0"/>
    </xf>
    <xf numFmtId="0" fontId="0" fillId="0" borderId="12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0" fillId="0" borderId="10" xfId="0" applyFont="1" applyBorder="1" applyAlignment="1" applyProtection="1">
      <alignment horizontal="justify" vertical="center"/>
      <protection locked="0"/>
    </xf>
    <xf numFmtId="0" fontId="0" fillId="0" borderId="30" xfId="0" applyFont="1" applyFill="1" applyBorder="1" applyAlignment="1" applyProtection="1">
      <alignment horizontal="justify" vertical="center" wrapText="1"/>
      <protection locked="0"/>
    </xf>
    <xf numFmtId="0" fontId="0" fillId="0" borderId="18" xfId="0" applyFont="1" applyFill="1" applyBorder="1" applyAlignment="1" applyProtection="1">
      <alignment horizontal="justify" vertical="center" wrapText="1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0" fillId="0" borderId="23" xfId="0" applyFont="1" applyFill="1" applyBorder="1" applyAlignment="1" applyProtection="1">
      <alignment horizontal="justify" vertical="center" wrapText="1"/>
      <protection locked="0"/>
    </xf>
    <xf numFmtId="0" fontId="0" fillId="16" borderId="0" xfId="0" applyFill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" fontId="0" fillId="24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1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16" borderId="0" xfId="0" applyFont="1" applyFill="1" applyAlignment="1" applyProtection="1">
      <alignment/>
      <protection locked="0"/>
    </xf>
    <xf numFmtId="4" fontId="5" fillId="1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3" fontId="0" fillId="0" borderId="10" xfId="43" applyFont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/>
      <protection locked="0"/>
    </xf>
    <xf numFmtId="4" fontId="0" fillId="12" borderId="32" xfId="0" applyNumberFormat="1" applyFont="1" applyFill="1" applyBorder="1" applyAlignment="1" applyProtection="1">
      <alignment horizontal="center" vertical="center"/>
      <protection locked="0"/>
    </xf>
    <xf numFmtId="4" fontId="2" fillId="12" borderId="17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0" fontId="8" fillId="12" borderId="12" xfId="0" applyFont="1" applyFill="1" applyBorder="1" applyAlignment="1" applyProtection="1">
      <alignment horizontal="center" vertical="center" wrapText="1"/>
      <protection hidden="1"/>
    </xf>
    <xf numFmtId="0" fontId="8" fillId="12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23" borderId="0" xfId="0" applyFont="1" applyFill="1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0" fillId="23" borderId="0" xfId="0" applyFont="1" applyFill="1" applyAlignment="1" applyProtection="1">
      <alignment/>
      <protection locked="0"/>
    </xf>
    <xf numFmtId="0" fontId="0" fillId="23" borderId="0" xfId="0" applyFont="1" applyFill="1" applyAlignment="1" applyProtection="1">
      <alignment horizontal="left" vertical="center"/>
      <protection locked="0"/>
    </xf>
    <xf numFmtId="0" fontId="10" fillId="23" borderId="0" xfId="0" applyFont="1" applyFill="1" applyAlignment="1" applyProtection="1">
      <alignment/>
      <protection locked="0"/>
    </xf>
    <xf numFmtId="0" fontId="11" fillId="23" borderId="0" xfId="0" applyFont="1" applyFill="1" applyAlignment="1" applyProtection="1">
      <alignment/>
      <protection locked="0"/>
    </xf>
    <xf numFmtId="0" fontId="0" fillId="23" borderId="0" xfId="0" applyFill="1" applyAlignment="1" applyProtection="1">
      <alignment horizontal="left" vertical="center"/>
      <protection locked="0"/>
    </xf>
    <xf numFmtId="6" fontId="0" fillId="23" borderId="0" xfId="0" applyNumberFormat="1" applyFill="1" applyAlignment="1" applyProtection="1">
      <alignment horizontal="left"/>
      <protection locked="0"/>
    </xf>
    <xf numFmtId="0" fontId="0" fillId="23" borderId="0" xfId="0" applyFill="1" applyAlignment="1">
      <alignment/>
    </xf>
    <xf numFmtId="0" fontId="10" fillId="0" borderId="0" xfId="0" applyFont="1" applyAlignment="1">
      <alignment/>
    </xf>
    <xf numFmtId="0" fontId="2" fillId="12" borderId="33" xfId="0" applyFont="1" applyFill="1" applyBorder="1" applyAlignment="1" applyProtection="1">
      <alignment vertical="center"/>
      <protection locked="0"/>
    </xf>
    <xf numFmtId="0" fontId="2" fillId="12" borderId="21" xfId="0" applyFont="1" applyFill="1" applyBorder="1" applyAlignment="1" applyProtection="1">
      <alignment vertical="center"/>
      <protection locked="0"/>
    </xf>
    <xf numFmtId="0" fontId="2" fillId="12" borderId="34" xfId="0" applyFont="1" applyFill="1" applyBorder="1" applyAlignment="1" applyProtection="1">
      <alignment vertical="center"/>
      <protection locked="0"/>
    </xf>
    <xf numFmtId="0" fontId="0" fillId="23" borderId="0" xfId="0" applyFont="1" applyFill="1" applyAlignment="1">
      <alignment/>
    </xf>
    <xf numFmtId="0" fontId="0" fillId="0" borderId="0" xfId="0" applyFont="1" applyAlignment="1">
      <alignment/>
    </xf>
    <xf numFmtId="43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4" fontId="0" fillId="25" borderId="16" xfId="0" applyNumberFormat="1" applyFont="1" applyFill="1" applyBorder="1" applyAlignment="1" applyProtection="1">
      <alignment horizontal="center" vertical="center"/>
      <protection locked="0"/>
    </xf>
    <xf numFmtId="4" fontId="0" fillId="25" borderId="31" xfId="0" applyNumberFormat="1" applyFont="1" applyFill="1" applyBorder="1" applyAlignment="1" applyProtection="1">
      <alignment horizontal="center" vertical="center"/>
      <protection locked="0"/>
    </xf>
    <xf numFmtId="4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10" fillId="25" borderId="0" xfId="0" applyFont="1" applyFill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2" fillId="12" borderId="30" xfId="0" applyFont="1" applyFill="1" applyBorder="1" applyAlignment="1" applyProtection="1">
      <alignment horizontal="center" vertical="center"/>
      <protection locked="0"/>
    </xf>
    <xf numFmtId="0" fontId="2" fillId="1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12" borderId="33" xfId="0" applyFont="1" applyFill="1" applyBorder="1" applyAlignment="1" applyProtection="1">
      <alignment horizontal="center" vertical="center"/>
      <protection locked="0"/>
    </xf>
    <xf numFmtId="0" fontId="2" fillId="12" borderId="2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2" fillId="12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2" fillId="12" borderId="33" xfId="0" applyFont="1" applyFill="1" applyBorder="1" applyAlignment="1" applyProtection="1">
      <alignment horizontal="left" vertical="center"/>
      <protection locked="0"/>
    </xf>
    <xf numFmtId="0" fontId="2" fillId="12" borderId="21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BE5F1"/>
      <rgbColor rgb="00B8CCE4"/>
      <rgbColor rgb="0095B3D7"/>
      <rgbColor rgb="004F81BD"/>
      <rgbColor rgb="001F497D"/>
      <rgbColor rgb="006699FF"/>
      <rgbColor rgb="00FCD5B4"/>
      <rgbColor rgb="00D7E4B6"/>
      <rgbColor rgb="00F8F8F8"/>
      <rgbColor rgb="00EAEAEA"/>
      <rgbColor rgb="00DDDDDD"/>
      <rgbColor rgb="00FFFFCC"/>
      <rgbColor rgb="00DBEEF3"/>
      <rgbColor rgb="00B6DDE8"/>
      <rgbColor rgb="0093CDDD"/>
      <rgbColor rgb="004BAC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ITE%20SPESA%20PERSONALE%202014%20-comma%20557%20L%20296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ESA%20PERSONALE%202015%20-comma%20557%20L%20296-2006-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su media triennio"/>
      <sheetName val="2015 sumedia triennio"/>
      <sheetName val="2016 su media triennio"/>
    </sheetNames>
    <sheetDataSet>
      <sheetData sheetId="0">
        <row r="31">
          <cell r="N31">
            <v>25954.414166666666</v>
          </cell>
          <cell r="R31">
            <v>7638.327747160424</v>
          </cell>
        </row>
        <row r="60">
          <cell r="N60">
            <v>7596.437993333333</v>
          </cell>
          <cell r="R60">
            <v>2202.2965404888737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 su media triennio"/>
      <sheetName val="2016 su media triennio"/>
      <sheetName val="2017 su media triennio da ver"/>
    </sheetNames>
    <sheetDataSet>
      <sheetData sheetId="0">
        <row r="6">
          <cell r="N6">
            <v>14240.537875000004</v>
          </cell>
          <cell r="R6">
            <v>3389.2480142500012</v>
          </cell>
          <cell r="T6">
            <v>1210.4457193750004</v>
          </cell>
        </row>
        <row r="24">
          <cell r="R24">
            <v>7131.111263433333</v>
          </cell>
        </row>
        <row r="31">
          <cell r="N31">
            <v>25968.294166666663</v>
          </cell>
          <cell r="R31">
            <v>7639.255269290717</v>
          </cell>
        </row>
        <row r="44">
          <cell r="N44">
            <v>687888.8529046873</v>
          </cell>
          <cell r="R44">
            <v>198147.53122309357</v>
          </cell>
          <cell r="S44">
            <v>413.258353925926</v>
          </cell>
          <cell r="T44">
            <v>56575.97630523176</v>
          </cell>
        </row>
        <row r="47">
          <cell r="U47">
            <v>10574</v>
          </cell>
        </row>
        <row r="48">
          <cell r="U48">
            <v>9502.8</v>
          </cell>
        </row>
        <row r="49">
          <cell r="U49">
            <v>40000</v>
          </cell>
        </row>
        <row r="50">
          <cell r="N50">
            <v>7000</v>
          </cell>
          <cell r="R50">
            <v>1736.7</v>
          </cell>
        </row>
        <row r="51">
          <cell r="U51">
            <v>10000</v>
          </cell>
        </row>
        <row r="52">
          <cell r="U52">
            <v>2000</v>
          </cell>
        </row>
        <row r="53">
          <cell r="T53">
            <v>3000</v>
          </cell>
        </row>
        <row r="55">
          <cell r="U55">
            <v>9000</v>
          </cell>
        </row>
        <row r="56">
          <cell r="T56">
            <v>3615</v>
          </cell>
        </row>
        <row r="59">
          <cell r="N59">
            <v>22289.131666666664</v>
          </cell>
        </row>
        <row r="60">
          <cell r="N60">
            <v>7596.437993333333</v>
          </cell>
          <cell r="R60">
            <v>2234.2942945865825</v>
          </cell>
          <cell r="T60">
            <v>645.6972294333334</v>
          </cell>
          <cell r="U60">
            <v>10476.42951735325</v>
          </cell>
        </row>
      </sheetData>
      <sheetData sheetId="1">
        <row r="6">
          <cell r="N6">
            <v>12884.837875000001</v>
          </cell>
        </row>
        <row r="40">
          <cell r="N40">
            <v>657176.0043488425</v>
          </cell>
          <cell r="R40">
            <v>189442.30634805886</v>
          </cell>
          <cell r="T40">
            <v>53965.384177984946</v>
          </cell>
        </row>
        <row r="43">
          <cell r="U43">
            <v>10574</v>
          </cell>
        </row>
        <row r="44">
          <cell r="U44">
            <v>9502.8</v>
          </cell>
        </row>
        <row r="45">
          <cell r="U45">
            <v>40000</v>
          </cell>
        </row>
        <row r="46">
          <cell r="U46">
            <v>10000</v>
          </cell>
        </row>
        <row r="47">
          <cell r="U47">
            <v>2000</v>
          </cell>
        </row>
        <row r="50">
          <cell r="U50">
            <v>10000</v>
          </cell>
        </row>
        <row r="51">
          <cell r="T51">
            <v>3020</v>
          </cell>
        </row>
        <row r="56">
          <cell r="N56">
            <v>22289.131666666668</v>
          </cell>
          <cell r="R56">
            <v>7131.111263433334</v>
          </cell>
        </row>
        <row r="60">
          <cell r="N60">
            <v>40000</v>
          </cell>
        </row>
        <row r="61">
          <cell r="R61">
            <v>3066.5914142500005</v>
          </cell>
          <cell r="T61">
            <v>1095.2112193750002</v>
          </cell>
        </row>
        <row r="62">
          <cell r="U62">
            <v>3000</v>
          </cell>
        </row>
        <row r="63">
          <cell r="N63">
            <v>2000</v>
          </cell>
        </row>
        <row r="64">
          <cell r="N64">
            <v>10000</v>
          </cell>
        </row>
      </sheetData>
      <sheetData sheetId="2">
        <row r="40">
          <cell r="N40">
            <v>657176.0043488425</v>
          </cell>
          <cell r="R40">
            <v>189442.30634805886</v>
          </cell>
          <cell r="T40">
            <v>53965.384177984946</v>
          </cell>
        </row>
        <row r="43">
          <cell r="U43">
            <v>10574</v>
          </cell>
        </row>
        <row r="44">
          <cell r="U44">
            <v>9502.8</v>
          </cell>
        </row>
        <row r="45">
          <cell r="U45">
            <v>40000</v>
          </cell>
        </row>
        <row r="46">
          <cell r="U46">
            <v>10000</v>
          </cell>
        </row>
        <row r="47">
          <cell r="U47">
            <v>2000</v>
          </cell>
        </row>
        <row r="50">
          <cell r="U50">
            <v>10000</v>
          </cell>
        </row>
        <row r="51">
          <cell r="T51">
            <v>3020</v>
          </cell>
        </row>
        <row r="56">
          <cell r="N56">
            <v>22289.131666666668</v>
          </cell>
          <cell r="R56">
            <v>7131.111263433334</v>
          </cell>
        </row>
        <row r="60">
          <cell r="U60">
            <v>40000</v>
          </cell>
        </row>
        <row r="61">
          <cell r="N61">
            <v>12884.837875000001</v>
          </cell>
          <cell r="R61">
            <v>3066.5914142500005</v>
          </cell>
          <cell r="T61">
            <v>1095.2112193750002</v>
          </cell>
        </row>
        <row r="62">
          <cell r="U62">
            <v>3000</v>
          </cell>
        </row>
        <row r="63">
          <cell r="U63">
            <v>2000</v>
          </cell>
        </row>
        <row r="64">
          <cell r="U64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PageLayoutView="0" workbookViewId="0" topLeftCell="A28">
      <selection activeCell="G2" sqref="G2"/>
    </sheetView>
  </sheetViews>
  <sheetFormatPr defaultColWidth="9.140625" defaultRowHeight="12.75"/>
  <cols>
    <col min="1" max="1" width="6.140625" style="3" customWidth="1"/>
    <col min="2" max="2" width="97.28125" style="1" customWidth="1"/>
    <col min="3" max="3" width="5.7109375" style="3" customWidth="1"/>
    <col min="4" max="4" width="29.7109375" style="3" customWidth="1"/>
    <col min="5" max="6" width="9.140625" style="1" customWidth="1"/>
    <col min="7" max="7" width="63.421875" style="1" customWidth="1"/>
    <col min="8" max="11" width="9.140625" style="1" customWidth="1"/>
    <col min="12" max="12" width="11.57421875" style="1" bestFit="1" customWidth="1"/>
    <col min="13" max="16384" width="9.140625" style="1" customWidth="1"/>
  </cols>
  <sheetData>
    <row r="1" spans="1:4" ht="18">
      <c r="A1" s="105" t="s">
        <v>138</v>
      </c>
      <c r="B1" s="105"/>
      <c r="C1" s="105"/>
      <c r="D1" s="105"/>
    </row>
    <row r="2" spans="1:4" ht="31.5" customHeight="1">
      <c r="A2" s="108" t="s">
        <v>5</v>
      </c>
      <c r="B2" s="108"/>
      <c r="C2" s="108"/>
      <c r="D2" s="108"/>
    </row>
    <row r="3" spans="1:4" ht="32.25" customHeight="1">
      <c r="A3" s="109" t="s">
        <v>6</v>
      </c>
      <c r="B3" s="109"/>
      <c r="C3" s="109"/>
      <c r="D3" s="109"/>
    </row>
    <row r="4" spans="1:4" ht="21" customHeight="1">
      <c r="A4" s="110" t="s">
        <v>10</v>
      </c>
      <c r="B4" s="111"/>
      <c r="C4" s="19"/>
      <c r="D4" s="20" t="s">
        <v>42</v>
      </c>
    </row>
    <row r="5" spans="1:6" s="2" customFormat="1" ht="27" customHeight="1">
      <c r="A5" s="9">
        <v>1</v>
      </c>
      <c r="B5" s="14" t="s">
        <v>18</v>
      </c>
      <c r="C5" s="7" t="s">
        <v>1</v>
      </c>
      <c r="D5" s="73">
        <f>919887.57-2672.38-4625.78-586.24-31289.6-11751.72+D9-8125</f>
        <v>890792.85</v>
      </c>
      <c r="E5" s="2" t="s">
        <v>50</v>
      </c>
      <c r="F5" s="61" t="s">
        <v>54</v>
      </c>
    </row>
    <row r="6" spans="1:6" s="2" customFormat="1" ht="27" customHeight="1">
      <c r="A6" s="37" t="s">
        <v>11</v>
      </c>
      <c r="B6" s="14" t="s">
        <v>16</v>
      </c>
      <c r="C6" s="7"/>
      <c r="D6" s="10">
        <f>109459.22+34455.59+41108.78-8125+7491.08+73530.26-939.08+18917.17+69745.75+21358.32+105100.98+39927.33+15000+10679.21+78512.51+1306.81+34309.07+20976.23-D8</f>
        <v>665174.61</v>
      </c>
      <c r="E6" s="2" t="s">
        <v>50</v>
      </c>
      <c r="F6" s="61" t="s">
        <v>55</v>
      </c>
    </row>
    <row r="7" spans="1:7" s="2" customFormat="1" ht="27" customHeight="1">
      <c r="A7" s="38"/>
      <c r="B7" s="16" t="s">
        <v>12</v>
      </c>
      <c r="C7" s="7"/>
      <c r="D7" s="10">
        <f>40979.54+5866.42+21014.08-223.5-27.05-4.7+18793.27+6628+36130.74+11373.2+3219.14+24763.69+12195.64+6119.82</f>
        <v>186828.29000000004</v>
      </c>
      <c r="E7" s="2" t="s">
        <v>50</v>
      </c>
      <c r="F7" s="61" t="s">
        <v>52</v>
      </c>
      <c r="G7" s="60"/>
    </row>
    <row r="8" spans="1:5" s="2" customFormat="1" ht="27" customHeight="1">
      <c r="A8" s="38"/>
      <c r="B8" s="16" t="s">
        <v>13</v>
      </c>
      <c r="C8" s="7"/>
      <c r="D8" s="10">
        <f>7639.62</f>
        <v>7639.62</v>
      </c>
      <c r="E8" s="2" t="s">
        <v>51</v>
      </c>
    </row>
    <row r="9" spans="1:5" s="2" customFormat="1" ht="27" customHeight="1">
      <c r="A9" s="38"/>
      <c r="B9" s="16" t="s">
        <v>26</v>
      </c>
      <c r="C9" s="7"/>
      <c r="D9" s="10">
        <f>+N11</f>
        <v>29956</v>
      </c>
      <c r="E9" s="2" t="s">
        <v>50</v>
      </c>
    </row>
    <row r="10" spans="1:4" s="2" customFormat="1" ht="27" customHeight="1">
      <c r="A10" s="38"/>
      <c r="B10" s="16" t="s">
        <v>41</v>
      </c>
      <c r="C10" s="7"/>
      <c r="D10" s="10">
        <v>0</v>
      </c>
    </row>
    <row r="11" spans="1:14" s="2" customFormat="1" ht="27" customHeight="1">
      <c r="A11" s="38"/>
      <c r="B11" s="16" t="s">
        <v>14</v>
      </c>
      <c r="C11" s="7"/>
      <c r="D11" s="10">
        <v>0</v>
      </c>
      <c r="H11" s="62"/>
      <c r="L11" s="2">
        <f>25448+8125+7427+2333+2163+691-7881-2483-2300-713-670-211</f>
        <v>31929</v>
      </c>
      <c r="N11" s="2">
        <f>25448+8125+7427+2333-7881-2483-2300-713</f>
        <v>29956</v>
      </c>
    </row>
    <row r="12" spans="1:8" s="2" customFormat="1" ht="38.25">
      <c r="A12" s="38"/>
      <c r="B12" s="17" t="s">
        <v>15</v>
      </c>
      <c r="C12" s="7"/>
      <c r="D12" s="10">
        <v>0</v>
      </c>
      <c r="G12" s="60"/>
      <c r="H12" s="60"/>
    </row>
    <row r="13" spans="1:12" s="2" customFormat="1" ht="25.5">
      <c r="A13" s="38"/>
      <c r="B13" s="21" t="s">
        <v>48</v>
      </c>
      <c r="C13" s="7"/>
      <c r="D13" s="10">
        <v>0</v>
      </c>
      <c r="L13" s="60">
        <f>D5</f>
        <v>890792.85</v>
      </c>
    </row>
    <row r="14" spans="1:12" s="2" customFormat="1" ht="20.25" customHeight="1">
      <c r="A14" s="38"/>
      <c r="B14" s="17" t="s">
        <v>17</v>
      </c>
      <c r="C14" s="7"/>
      <c r="D14" s="10">
        <v>0</v>
      </c>
      <c r="L14" s="60">
        <f>SUM(D6:D16)</f>
        <v>890792.85</v>
      </c>
    </row>
    <row r="15" spans="1:12" s="2" customFormat="1" ht="20.25" customHeight="1">
      <c r="A15" s="38"/>
      <c r="B15" s="17" t="s">
        <v>28</v>
      </c>
      <c r="C15" s="7"/>
      <c r="D15" s="10">
        <f>939.08+223.5+27.05+4.7</f>
        <v>1194.33</v>
      </c>
      <c r="E15" s="61"/>
      <c r="L15" s="60">
        <f>L13-L14</f>
        <v>0</v>
      </c>
    </row>
    <row r="16" spans="1:4" s="2" customFormat="1" ht="20.25" customHeight="1">
      <c r="A16" s="39"/>
      <c r="B16" s="17" t="s">
        <v>20</v>
      </c>
      <c r="C16" s="7"/>
      <c r="D16" s="10" t="s">
        <v>46</v>
      </c>
    </row>
    <row r="17" spans="1:5" s="2" customFormat="1" ht="38.25">
      <c r="A17" s="22">
        <v>2</v>
      </c>
      <c r="B17" s="21" t="s">
        <v>71</v>
      </c>
      <c r="C17" s="23" t="s">
        <v>1</v>
      </c>
      <c r="D17" s="73">
        <f>9647.67+41848.45+85282.09</f>
        <v>136778.21</v>
      </c>
      <c r="E17" s="61" t="s">
        <v>72</v>
      </c>
    </row>
    <row r="18" spans="1:4" s="2" customFormat="1" ht="25.5">
      <c r="A18" s="22">
        <v>3</v>
      </c>
      <c r="B18" s="17" t="s">
        <v>19</v>
      </c>
      <c r="C18" s="23" t="s">
        <v>1</v>
      </c>
      <c r="D18" s="73">
        <v>0</v>
      </c>
    </row>
    <row r="19" spans="1:5" s="2" customFormat="1" ht="25.5">
      <c r="A19" s="22">
        <v>4</v>
      </c>
      <c r="B19" s="24" t="s">
        <v>70</v>
      </c>
      <c r="C19" s="8" t="s">
        <v>1</v>
      </c>
      <c r="D19" s="73">
        <f>6938.88+3324.81+1100+5908.94+8129.31+80+25936.01</f>
        <v>51417.95</v>
      </c>
      <c r="E19" s="2" t="s">
        <v>50</v>
      </c>
    </row>
    <row r="20" spans="1:5" s="2" customFormat="1" ht="20.25">
      <c r="A20" s="22">
        <v>5</v>
      </c>
      <c r="B20" s="25" t="s">
        <v>21</v>
      </c>
      <c r="C20" s="26" t="s">
        <v>1</v>
      </c>
      <c r="D20" s="73">
        <f>1640.11+6927.94+2344.66+2532+52022.19-2163-691+1493+480</f>
        <v>64585.9</v>
      </c>
      <c r="E20" s="61"/>
    </row>
    <row r="21" spans="1:4" s="2" customFormat="1" ht="20.25" customHeight="1">
      <c r="A21" s="112" t="s">
        <v>27</v>
      </c>
      <c r="B21" s="112"/>
      <c r="C21" s="113"/>
      <c r="D21" s="68">
        <f>SUM(D5+D17+D18+D19+D20)</f>
        <v>1143574.91</v>
      </c>
    </row>
    <row r="22" spans="1:4" ht="38.25">
      <c r="A22" s="22">
        <v>6</v>
      </c>
      <c r="B22" s="25" t="s">
        <v>34</v>
      </c>
      <c r="C22" s="4" t="s">
        <v>1</v>
      </c>
      <c r="D22" s="43">
        <v>0</v>
      </c>
    </row>
    <row r="23" spans="1:4" s="2" customFormat="1" ht="20.25" customHeight="1">
      <c r="A23" s="114" t="s">
        <v>22</v>
      </c>
      <c r="B23" s="114"/>
      <c r="C23" s="114"/>
      <c r="D23" s="77">
        <f>D21+D22</f>
        <v>1143574.91</v>
      </c>
    </row>
    <row r="24" spans="1:4" s="2" customFormat="1" ht="20.25" customHeight="1">
      <c r="A24" s="107" t="s">
        <v>23</v>
      </c>
      <c r="B24" s="107"/>
      <c r="C24" s="107"/>
      <c r="D24" s="20" t="s">
        <v>42</v>
      </c>
    </row>
    <row r="25" spans="1:5" ht="27" customHeight="1">
      <c r="A25" s="40">
        <v>7</v>
      </c>
      <c r="B25" s="14" t="s">
        <v>35</v>
      </c>
      <c r="C25" s="7" t="s">
        <v>0</v>
      </c>
      <c r="D25" s="12">
        <f>+D15</f>
        <v>1194.33</v>
      </c>
      <c r="E25" s="1" t="s">
        <v>50</v>
      </c>
    </row>
    <row r="26" spans="1:5" ht="27" customHeight="1">
      <c r="A26" s="11">
        <v>8</v>
      </c>
      <c r="B26" s="15" t="s">
        <v>133</v>
      </c>
      <c r="C26" s="8" t="s">
        <v>0</v>
      </c>
      <c r="D26" s="12"/>
      <c r="E26" s="1" t="s">
        <v>50</v>
      </c>
    </row>
    <row r="27" spans="1:5" ht="27" customHeight="1">
      <c r="A27" s="40">
        <v>9</v>
      </c>
      <c r="B27" s="15" t="s">
        <v>36</v>
      </c>
      <c r="C27" s="8" t="s">
        <v>0</v>
      </c>
      <c r="D27" s="12">
        <v>18917.17</v>
      </c>
      <c r="E27" s="1" t="s">
        <v>50</v>
      </c>
    </row>
    <row r="28" spans="1:5" ht="27" customHeight="1">
      <c r="A28" s="11">
        <v>10</v>
      </c>
      <c r="B28" s="15" t="s">
        <v>2</v>
      </c>
      <c r="C28" s="8" t="s">
        <v>0</v>
      </c>
      <c r="D28" s="12">
        <v>3342.81</v>
      </c>
      <c r="E28" s="1" t="s">
        <v>50</v>
      </c>
    </row>
    <row r="29" spans="1:5" ht="27" customHeight="1">
      <c r="A29" s="40">
        <v>11</v>
      </c>
      <c r="B29" s="15" t="s">
        <v>3</v>
      </c>
      <c r="C29" s="8" t="s">
        <v>0</v>
      </c>
      <c r="D29" s="12">
        <f>1100+80</f>
        <v>1180</v>
      </c>
      <c r="E29" s="1" t="s">
        <v>50</v>
      </c>
    </row>
    <row r="30" spans="1:5" ht="27" customHeight="1">
      <c r="A30" s="11">
        <v>12</v>
      </c>
      <c r="B30" s="15" t="s">
        <v>4</v>
      </c>
      <c r="C30" s="8" t="s">
        <v>0</v>
      </c>
      <c r="D30" s="12">
        <f>(85282.09+41848.45)</f>
        <v>127130.54</v>
      </c>
      <c r="E30" s="1" t="s">
        <v>53</v>
      </c>
    </row>
    <row r="31" spans="1:6" ht="27" customHeight="1">
      <c r="A31" s="40">
        <v>13</v>
      </c>
      <c r="B31" s="15" t="s">
        <v>37</v>
      </c>
      <c r="C31" s="8" t="s">
        <v>0</v>
      </c>
      <c r="D31" s="12">
        <f>5908.94+8129.31</f>
        <v>14038.25</v>
      </c>
      <c r="E31" s="1" t="s">
        <v>50</v>
      </c>
      <c r="F31" s="1" t="s">
        <v>58</v>
      </c>
    </row>
    <row r="32" spans="1:6" ht="27" customHeight="1">
      <c r="A32" s="11">
        <v>14</v>
      </c>
      <c r="B32" s="15" t="s">
        <v>30</v>
      </c>
      <c r="C32" s="36" t="s">
        <v>0</v>
      </c>
      <c r="D32" s="12">
        <f>15000</f>
        <v>15000</v>
      </c>
      <c r="E32" s="1" t="s">
        <v>50</v>
      </c>
      <c r="F32" s="1" t="s">
        <v>58</v>
      </c>
    </row>
    <row r="33" spans="1:4" ht="27" customHeight="1">
      <c r="A33" s="40">
        <v>15</v>
      </c>
      <c r="B33" s="15" t="s">
        <v>29</v>
      </c>
      <c r="C33" s="8" t="s">
        <v>0</v>
      </c>
      <c r="D33" s="12">
        <v>0</v>
      </c>
    </row>
    <row r="34" spans="1:4" ht="27" customHeight="1">
      <c r="A34" s="11">
        <v>16</v>
      </c>
      <c r="B34" s="15" t="s">
        <v>38</v>
      </c>
      <c r="C34" s="8" t="s">
        <v>0</v>
      </c>
      <c r="D34" s="12">
        <v>0</v>
      </c>
    </row>
    <row r="35" spans="1:4" ht="27" customHeight="1">
      <c r="A35" s="40">
        <v>17</v>
      </c>
      <c r="B35" s="27" t="s">
        <v>7</v>
      </c>
      <c r="C35" s="8" t="s">
        <v>0</v>
      </c>
      <c r="D35" s="67">
        <v>0</v>
      </c>
    </row>
    <row r="36" spans="1:6" ht="27" customHeight="1">
      <c r="A36" s="11">
        <v>18</v>
      </c>
      <c r="B36" s="28" t="s">
        <v>8</v>
      </c>
      <c r="C36" s="8" t="s">
        <v>0</v>
      </c>
      <c r="D36" s="12">
        <v>25936.01</v>
      </c>
      <c r="E36" s="1" t="s">
        <v>50</v>
      </c>
      <c r="F36" s="1" t="s">
        <v>59</v>
      </c>
    </row>
    <row r="37" spans="1:5" ht="27" customHeight="1">
      <c r="A37" s="40">
        <v>19</v>
      </c>
      <c r="B37" s="28" t="s">
        <v>9</v>
      </c>
      <c r="C37" s="8" t="s">
        <v>0</v>
      </c>
      <c r="D37" s="12">
        <v>7491.08</v>
      </c>
      <c r="E37" s="1" t="s">
        <v>50</v>
      </c>
    </row>
    <row r="38" spans="1:8" ht="27" customHeight="1">
      <c r="A38" s="40">
        <v>20</v>
      </c>
      <c r="B38" s="64" t="s">
        <v>40</v>
      </c>
      <c r="C38" s="8" t="s">
        <v>0</v>
      </c>
      <c r="D38" s="63">
        <f>5886.42+1500+12+0.5+D36*23.8%</f>
        <v>13571.69038</v>
      </c>
      <c r="E38" s="31" t="s">
        <v>57</v>
      </c>
      <c r="F38" s="31"/>
      <c r="G38" s="31"/>
      <c r="H38" s="1" t="s">
        <v>50</v>
      </c>
    </row>
    <row r="39" spans="1:18" ht="27" customHeight="1">
      <c r="A39" s="40">
        <v>21</v>
      </c>
      <c r="B39" s="25" t="s">
        <v>39</v>
      </c>
      <c r="C39" s="8" t="s">
        <v>0</v>
      </c>
      <c r="D39" s="66">
        <f>1640.11+2344.66+2532</f>
        <v>6516.7699999999995</v>
      </c>
      <c r="E39" s="65" t="s">
        <v>66</v>
      </c>
      <c r="R39" s="1" t="s">
        <v>50</v>
      </c>
    </row>
    <row r="40" spans="1:4" ht="27" customHeight="1">
      <c r="A40" s="11">
        <v>22</v>
      </c>
      <c r="B40" s="41" t="s">
        <v>33</v>
      </c>
      <c r="C40" s="4" t="s">
        <v>0</v>
      </c>
      <c r="D40" s="13">
        <v>0</v>
      </c>
    </row>
    <row r="41" spans="1:4" ht="30" customHeight="1">
      <c r="A41" s="106" t="s">
        <v>24</v>
      </c>
      <c r="B41" s="106"/>
      <c r="C41" s="106"/>
      <c r="D41" s="32">
        <f>SUM(D25:D40)</f>
        <v>234318.65037999998</v>
      </c>
    </row>
    <row r="42" spans="1:4" ht="30" customHeight="1">
      <c r="A42" s="107" t="s">
        <v>25</v>
      </c>
      <c r="B42" s="107"/>
      <c r="C42" s="107"/>
      <c r="D42" s="34">
        <f>D23-D41</f>
        <v>909256.2596199999</v>
      </c>
    </row>
    <row r="43" ht="12.75">
      <c r="A43" s="72" t="s">
        <v>65</v>
      </c>
    </row>
  </sheetData>
  <sheetProtection/>
  <mergeCells count="9">
    <mergeCell ref="A1:D1"/>
    <mergeCell ref="A41:C41"/>
    <mergeCell ref="A42:C42"/>
    <mergeCell ref="A2:D2"/>
    <mergeCell ref="A3:D3"/>
    <mergeCell ref="A4:B4"/>
    <mergeCell ref="A21:C21"/>
    <mergeCell ref="A23:C23"/>
    <mergeCell ref="A24:C24"/>
  </mergeCells>
  <conditionalFormatting sqref="D25:D40 D5:D23 H11">
    <cfRule type="expression" priority="1" dxfId="0" stopIfTrue="1">
      <formula>ISBLANK(D5)</formula>
    </cfRule>
  </conditionalFormatting>
  <printOptions/>
  <pageMargins left="0.7" right="0.7" top="0.75" bottom="0.75" header="0.3" footer="0.3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zoomScalePageLayoutView="0" workbookViewId="0" topLeftCell="A7">
      <selection activeCell="A1" sqref="A1:D1"/>
    </sheetView>
  </sheetViews>
  <sheetFormatPr defaultColWidth="9.140625" defaultRowHeight="12.75"/>
  <cols>
    <col min="1" max="1" width="6.140625" style="3" customWidth="1"/>
    <col min="2" max="2" width="97.28125" style="1" customWidth="1"/>
    <col min="3" max="3" width="5.7109375" style="3" customWidth="1"/>
    <col min="4" max="4" width="29.7109375" style="3" customWidth="1"/>
    <col min="5" max="5" width="13.28125" style="1" customWidth="1"/>
    <col min="6" max="6" width="9.140625" style="1" customWidth="1"/>
    <col min="7" max="7" width="9.28125" style="1" bestFit="1" customWidth="1"/>
    <col min="8" max="8" width="9.140625" style="1" customWidth="1"/>
    <col min="9" max="9" width="12.00390625" style="1" bestFit="1" customWidth="1"/>
    <col min="10" max="16384" width="9.140625" style="1" customWidth="1"/>
  </cols>
  <sheetData>
    <row r="1" spans="1:4" ht="18">
      <c r="A1" s="105" t="s">
        <v>138</v>
      </c>
      <c r="B1" s="105"/>
      <c r="C1" s="105"/>
      <c r="D1" s="105"/>
    </row>
    <row r="2" spans="1:4" ht="31.5" customHeight="1">
      <c r="A2" s="108" t="s">
        <v>5</v>
      </c>
      <c r="B2" s="108"/>
      <c r="C2" s="108"/>
      <c r="D2" s="108"/>
    </row>
    <row r="3" spans="1:4" ht="32.25" customHeight="1">
      <c r="A3" s="109" t="s">
        <v>6</v>
      </c>
      <c r="B3" s="109"/>
      <c r="C3" s="109"/>
      <c r="D3" s="109"/>
    </row>
    <row r="4" spans="1:4" ht="21" customHeight="1">
      <c r="A4" s="110" t="s">
        <v>10</v>
      </c>
      <c r="B4" s="111"/>
      <c r="C4" s="19"/>
      <c r="D4" s="20" t="s">
        <v>43</v>
      </c>
    </row>
    <row r="5" spans="1:5" s="2" customFormat="1" ht="27" customHeight="1">
      <c r="A5" s="9">
        <v>1</v>
      </c>
      <c r="B5" s="14" t="s">
        <v>18</v>
      </c>
      <c r="C5" s="7" t="s">
        <v>1</v>
      </c>
      <c r="D5" s="10">
        <f>941401.36-3481.05-3929.98-39624.52-13718.45-5927+D9</f>
        <v>903893.36</v>
      </c>
      <c r="E5" s="61" t="s">
        <v>82</v>
      </c>
    </row>
    <row r="6" spans="1:5" s="2" customFormat="1" ht="27" customHeight="1">
      <c r="A6" s="37" t="s">
        <v>11</v>
      </c>
      <c r="B6" s="14" t="s">
        <v>16</v>
      </c>
      <c r="C6" s="7"/>
      <c r="D6" s="10">
        <f>100156.82+34955.92+39159.14-5927+5523.33+87370.84+17327.24+69904.07+21358.32+111183.75+39943.96+12597.36+78439.94+1306.81+44667.24+20976.23-D8</f>
        <v>670363.73</v>
      </c>
      <c r="E6" s="61" t="s">
        <v>63</v>
      </c>
    </row>
    <row r="7" spans="1:5" s="2" customFormat="1" ht="27" customHeight="1">
      <c r="A7" s="38"/>
      <c r="B7" s="16" t="s">
        <v>12</v>
      </c>
      <c r="C7" s="7"/>
      <c r="D7" s="10">
        <f>38335.61+5457.61+25573.16+21924.19+6720.63+37503.32+11364.74+3768.92+24420.39+14625.08+6082.74</f>
        <v>195776.38999999998</v>
      </c>
      <c r="E7" s="61" t="s">
        <v>52</v>
      </c>
    </row>
    <row r="8" spans="1:4" s="2" customFormat="1" ht="27" customHeight="1">
      <c r="A8" s="38"/>
      <c r="B8" s="16" t="s">
        <v>60</v>
      </c>
      <c r="C8" s="7"/>
      <c r="D8" s="10">
        <f>8580.24</f>
        <v>8580.24</v>
      </c>
    </row>
    <row r="9" spans="1:7" s="2" customFormat="1" ht="27" customHeight="1">
      <c r="A9" s="38"/>
      <c r="B9" s="16" t="s">
        <v>26</v>
      </c>
      <c r="C9" s="7"/>
      <c r="D9" s="10">
        <f>G9</f>
        <v>29173</v>
      </c>
      <c r="E9" s="2" t="s">
        <v>69</v>
      </c>
      <c r="G9" s="2">
        <f>25968+5927+7680+1702-7541-1811-2232-520</f>
        <v>29173</v>
      </c>
    </row>
    <row r="10" spans="1:9" s="2" customFormat="1" ht="27" customHeight="1">
      <c r="A10" s="38"/>
      <c r="B10" s="16" t="s">
        <v>41</v>
      </c>
      <c r="C10" s="7"/>
      <c r="D10" s="10">
        <v>0</v>
      </c>
      <c r="I10" s="60">
        <f>SUM(D6:D16)</f>
        <v>903893.36</v>
      </c>
    </row>
    <row r="11" spans="1:9" s="2" customFormat="1" ht="27" customHeight="1">
      <c r="A11" s="38"/>
      <c r="B11" s="16" t="s">
        <v>14</v>
      </c>
      <c r="C11" s="7"/>
      <c r="D11" s="10">
        <v>0</v>
      </c>
      <c r="I11" s="60">
        <f>D5</f>
        <v>903893.36</v>
      </c>
    </row>
    <row r="12" spans="1:9" s="2" customFormat="1" ht="38.25">
      <c r="A12" s="38"/>
      <c r="B12" s="17" t="s">
        <v>15</v>
      </c>
      <c r="C12" s="7"/>
      <c r="D12" s="10">
        <v>0</v>
      </c>
      <c r="I12" s="60">
        <f>I10-I11</f>
        <v>0</v>
      </c>
    </row>
    <row r="13" spans="1:4" s="2" customFormat="1" ht="25.5">
      <c r="A13" s="38"/>
      <c r="B13" s="21" t="s">
        <v>61</v>
      </c>
      <c r="C13" s="7"/>
      <c r="D13" s="10">
        <v>0</v>
      </c>
    </row>
    <row r="14" spans="1:4" s="2" customFormat="1" ht="20.25" customHeight="1">
      <c r="A14" s="38"/>
      <c r="B14" s="17" t="s">
        <v>17</v>
      </c>
      <c r="C14" s="7"/>
      <c r="D14" s="10">
        <v>0</v>
      </c>
    </row>
    <row r="15" spans="1:4" s="2" customFormat="1" ht="20.25" customHeight="1">
      <c r="A15" s="38"/>
      <c r="B15" s="17" t="s">
        <v>28</v>
      </c>
      <c r="C15" s="7"/>
      <c r="D15" s="10">
        <v>0</v>
      </c>
    </row>
    <row r="16" spans="1:4" s="2" customFormat="1" ht="20.25" customHeight="1">
      <c r="A16" s="39"/>
      <c r="B16" s="17" t="s">
        <v>20</v>
      </c>
      <c r="C16" s="7"/>
      <c r="D16" s="10">
        <v>0</v>
      </c>
    </row>
    <row r="17" spans="1:5" s="2" customFormat="1" ht="38.25">
      <c r="A17" s="22">
        <v>2</v>
      </c>
      <c r="B17" s="21" t="s">
        <v>73</v>
      </c>
      <c r="C17" s="23" t="s">
        <v>1</v>
      </c>
      <c r="D17" s="10">
        <f>3526.25+108936.35+88102.17</f>
        <v>200564.77000000002</v>
      </c>
      <c r="E17" s="61" t="s">
        <v>72</v>
      </c>
    </row>
    <row r="18" spans="1:4" s="2" customFormat="1" ht="25.5">
      <c r="A18" s="22">
        <v>3</v>
      </c>
      <c r="B18" s="17" t="s">
        <v>19</v>
      </c>
      <c r="C18" s="23" t="s">
        <v>1</v>
      </c>
      <c r="D18" s="10">
        <v>0</v>
      </c>
    </row>
    <row r="19" spans="1:4" s="2" customFormat="1" ht="25.5">
      <c r="A19" s="22">
        <v>4</v>
      </c>
      <c r="B19" s="24" t="s">
        <v>74</v>
      </c>
      <c r="C19" s="8" t="s">
        <v>1</v>
      </c>
      <c r="D19" s="10">
        <f>9959.52+932+200+1985.7+865+445+265+385+1295.08+10293.52+14930.93</f>
        <v>41556.75</v>
      </c>
    </row>
    <row r="20" spans="1:5" s="2" customFormat="1" ht="20.25">
      <c r="A20" s="22">
        <v>5</v>
      </c>
      <c r="B20" s="25" t="s">
        <v>21</v>
      </c>
      <c r="C20" s="26" t="s">
        <v>1</v>
      </c>
      <c r="D20" s="10">
        <f>7973.69+53453.55+1199+252.96-2207-504+1566+350</f>
        <v>62084.200000000004</v>
      </c>
      <c r="E20" s="61" t="s">
        <v>64</v>
      </c>
    </row>
    <row r="21" spans="1:4" s="2" customFormat="1" ht="20.25" customHeight="1">
      <c r="A21" s="112" t="s">
        <v>27</v>
      </c>
      <c r="B21" s="112"/>
      <c r="C21" s="113"/>
      <c r="D21" s="68">
        <f>SUM(D5+D17+D18+D19+D20)</f>
        <v>1208099.0799999998</v>
      </c>
    </row>
    <row r="22" spans="1:4" ht="38.25">
      <c r="A22" s="22">
        <v>6</v>
      </c>
      <c r="B22" s="25" t="s">
        <v>34</v>
      </c>
      <c r="C22" s="4" t="s">
        <v>1</v>
      </c>
      <c r="D22" s="43">
        <v>0</v>
      </c>
    </row>
    <row r="23" spans="1:4" s="2" customFormat="1" ht="20.25" customHeight="1">
      <c r="A23" s="114" t="s">
        <v>22</v>
      </c>
      <c r="B23" s="114"/>
      <c r="C23" s="114"/>
      <c r="D23" s="71">
        <f>D21+D22</f>
        <v>1208099.0799999998</v>
      </c>
    </row>
    <row r="24" spans="1:4" s="2" customFormat="1" ht="20.25" customHeight="1">
      <c r="A24" s="107" t="s">
        <v>23</v>
      </c>
      <c r="B24" s="107"/>
      <c r="C24" s="107"/>
      <c r="D24" s="20" t="s">
        <v>43</v>
      </c>
    </row>
    <row r="25" spans="1:4" ht="27" customHeight="1">
      <c r="A25" s="40">
        <v>7</v>
      </c>
      <c r="B25" s="14" t="s">
        <v>35</v>
      </c>
      <c r="C25" s="7" t="s">
        <v>0</v>
      </c>
      <c r="D25" s="12">
        <v>0</v>
      </c>
    </row>
    <row r="26" spans="1:4" ht="27" customHeight="1">
      <c r="A26" s="11">
        <v>8</v>
      </c>
      <c r="B26" s="15" t="s">
        <v>134</v>
      </c>
      <c r="C26" s="8" t="s">
        <v>0</v>
      </c>
      <c r="D26" s="12"/>
    </row>
    <row r="27" spans="1:5" ht="27" customHeight="1">
      <c r="A27" s="40">
        <v>9</v>
      </c>
      <c r="B27" s="15" t="s">
        <v>36</v>
      </c>
      <c r="C27" s="8" t="s">
        <v>0</v>
      </c>
      <c r="D27" s="12">
        <v>17327.24</v>
      </c>
      <c r="E27" s="1" t="s">
        <v>80</v>
      </c>
    </row>
    <row r="28" spans="1:4" ht="27" customHeight="1">
      <c r="A28" s="11">
        <v>10</v>
      </c>
      <c r="B28" s="15" t="s">
        <v>2</v>
      </c>
      <c r="C28" s="8" t="s">
        <v>0</v>
      </c>
      <c r="D28" s="12">
        <f>932+865+445+265+385</f>
        <v>2892</v>
      </c>
    </row>
    <row r="29" spans="1:4" ht="27" customHeight="1">
      <c r="A29" s="40">
        <v>11</v>
      </c>
      <c r="B29" s="15" t="s">
        <v>3</v>
      </c>
      <c r="C29" s="8" t="s">
        <v>0</v>
      </c>
      <c r="D29" s="12">
        <f>200+1985.7</f>
        <v>2185.7</v>
      </c>
    </row>
    <row r="30" spans="1:5" ht="27" customHeight="1">
      <c r="A30" s="11">
        <v>12</v>
      </c>
      <c r="B30" s="15" t="s">
        <v>56</v>
      </c>
      <c r="C30" s="8" t="s">
        <v>0</v>
      </c>
      <c r="D30" s="12">
        <f>108936.35+88102.17</f>
        <v>197038.52000000002</v>
      </c>
      <c r="E30" s="69" t="s">
        <v>67</v>
      </c>
    </row>
    <row r="31" spans="1:5" ht="27" customHeight="1">
      <c r="A31" s="40">
        <v>13</v>
      </c>
      <c r="B31" s="15" t="s">
        <v>37</v>
      </c>
      <c r="C31" s="8" t="s">
        <v>0</v>
      </c>
      <c r="D31" s="12">
        <v>10293.52</v>
      </c>
      <c r="E31" s="69" t="s">
        <v>67</v>
      </c>
    </row>
    <row r="32" spans="1:5" ht="27" customHeight="1">
      <c r="A32" s="11">
        <v>14</v>
      </c>
      <c r="B32" s="15" t="s">
        <v>30</v>
      </c>
      <c r="C32" s="36" t="s">
        <v>0</v>
      </c>
      <c r="D32" s="12">
        <v>1295.08</v>
      </c>
      <c r="E32" s="69" t="s">
        <v>67</v>
      </c>
    </row>
    <row r="33" spans="1:4" ht="27" customHeight="1">
      <c r="A33" s="40">
        <v>15</v>
      </c>
      <c r="B33" s="15" t="s">
        <v>29</v>
      </c>
      <c r="C33" s="8" t="s">
        <v>0</v>
      </c>
      <c r="D33" s="12">
        <v>0</v>
      </c>
    </row>
    <row r="34" spans="1:4" ht="27" customHeight="1">
      <c r="A34" s="11">
        <v>16</v>
      </c>
      <c r="B34" s="15" t="s">
        <v>38</v>
      </c>
      <c r="C34" s="8" t="s">
        <v>0</v>
      </c>
      <c r="D34" s="12">
        <v>0</v>
      </c>
    </row>
    <row r="35" spans="1:4" ht="27" customHeight="1">
      <c r="A35" s="40">
        <v>17</v>
      </c>
      <c r="B35" s="27" t="s">
        <v>7</v>
      </c>
      <c r="C35" s="8" t="s">
        <v>0</v>
      </c>
      <c r="D35" s="12">
        <v>0</v>
      </c>
    </row>
    <row r="36" spans="1:4" ht="27" customHeight="1">
      <c r="A36" s="11">
        <v>18</v>
      </c>
      <c r="B36" s="28" t="s">
        <v>8</v>
      </c>
      <c r="C36" s="8" t="s">
        <v>0</v>
      </c>
      <c r="D36" s="12">
        <v>14930.93</v>
      </c>
    </row>
    <row r="37" spans="1:4" ht="27" customHeight="1">
      <c r="A37" s="40">
        <v>19</v>
      </c>
      <c r="B37" s="28" t="s">
        <v>9</v>
      </c>
      <c r="C37" s="8" t="s">
        <v>0</v>
      </c>
      <c r="D37" s="12">
        <v>5523.33</v>
      </c>
    </row>
    <row r="38" spans="1:6" ht="27" customHeight="1">
      <c r="A38" s="40">
        <v>20</v>
      </c>
      <c r="B38" s="64" t="s">
        <v>40</v>
      </c>
      <c r="C38" s="8" t="s">
        <v>0</v>
      </c>
      <c r="D38" s="63">
        <f>5457.61+D36*23.8%+D37*23.8%</f>
        <v>10325.723880000001</v>
      </c>
      <c r="E38" s="70" t="s">
        <v>62</v>
      </c>
      <c r="F38" s="31" t="s">
        <v>57</v>
      </c>
    </row>
    <row r="39" spans="1:5" ht="27" customHeight="1">
      <c r="A39" s="40">
        <v>21</v>
      </c>
      <c r="B39" s="25" t="s">
        <v>39</v>
      </c>
      <c r="C39" s="8" t="s">
        <v>0</v>
      </c>
      <c r="D39" s="66">
        <f>1199+D37*8.5%</f>
        <v>1668.48305</v>
      </c>
      <c r="E39" s="65" t="s">
        <v>68</v>
      </c>
    </row>
    <row r="40" spans="1:4" ht="27" customHeight="1">
      <c r="A40" s="11">
        <v>22</v>
      </c>
      <c r="B40" s="41" t="s">
        <v>33</v>
      </c>
      <c r="C40" s="8" t="s">
        <v>0</v>
      </c>
      <c r="D40" s="13">
        <v>0</v>
      </c>
    </row>
    <row r="41" spans="1:4" ht="30" customHeight="1">
      <c r="A41" s="106" t="s">
        <v>24</v>
      </c>
      <c r="B41" s="106"/>
      <c r="C41" s="106"/>
      <c r="D41" s="32">
        <f>SUM(D25:D40)</f>
        <v>263480.52693</v>
      </c>
    </row>
    <row r="42" spans="1:4" ht="30" customHeight="1">
      <c r="A42" s="107" t="s">
        <v>25</v>
      </c>
      <c r="B42" s="107"/>
      <c r="C42" s="107"/>
      <c r="D42" s="34">
        <f>D23-D41</f>
        <v>944618.5530699999</v>
      </c>
    </row>
    <row r="43" ht="12.75">
      <c r="A43" s="72" t="s">
        <v>65</v>
      </c>
    </row>
  </sheetData>
  <sheetProtection/>
  <mergeCells count="9">
    <mergeCell ref="A1:D1"/>
    <mergeCell ref="A41:C41"/>
    <mergeCell ref="A42:C42"/>
    <mergeCell ref="A2:D2"/>
    <mergeCell ref="A3:D3"/>
    <mergeCell ref="A4:B4"/>
    <mergeCell ref="A21:C21"/>
    <mergeCell ref="A23:C23"/>
    <mergeCell ref="A24:C24"/>
  </mergeCells>
  <conditionalFormatting sqref="D25:D40 D5:D23">
    <cfRule type="expression" priority="1" dxfId="0" stopIfTrue="1">
      <formula>ISBLANK(D5)</formula>
    </cfRule>
  </conditionalFormatting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BreakPreview" zoomScale="60" zoomScalePageLayoutView="0" workbookViewId="0" topLeftCell="A1">
      <selection activeCell="G9" sqref="G9"/>
    </sheetView>
  </sheetViews>
  <sheetFormatPr defaultColWidth="9.140625" defaultRowHeight="12.75"/>
  <cols>
    <col min="1" max="1" width="6.140625" style="3" customWidth="1"/>
    <col min="2" max="2" width="97.28125" style="1" customWidth="1"/>
    <col min="3" max="3" width="5.7109375" style="3" customWidth="1"/>
    <col min="4" max="4" width="29.7109375" style="3" customWidth="1"/>
    <col min="5" max="5" width="11.57421875" style="1" bestFit="1" customWidth="1"/>
    <col min="6" max="6" width="42.00390625" style="1" customWidth="1"/>
    <col min="7" max="7" width="9.28125" style="1" bestFit="1" customWidth="1"/>
    <col min="8" max="8" width="9.140625" style="1" customWidth="1"/>
    <col min="9" max="9" width="11.8515625" style="1" bestFit="1" customWidth="1"/>
    <col min="10" max="16384" width="9.140625" style="1" customWidth="1"/>
  </cols>
  <sheetData>
    <row r="1" spans="1:4" ht="18">
      <c r="A1" s="105" t="s">
        <v>138</v>
      </c>
      <c r="B1" s="105"/>
      <c r="C1" s="105"/>
      <c r="D1" s="105"/>
    </row>
    <row r="2" spans="1:4" ht="31.5" customHeight="1">
      <c r="A2" s="108" t="s">
        <v>5</v>
      </c>
      <c r="B2" s="108"/>
      <c r="C2" s="108"/>
      <c r="D2" s="108"/>
    </row>
    <row r="3" spans="1:4" ht="32.25" customHeight="1">
      <c r="A3" s="109" t="s">
        <v>6</v>
      </c>
      <c r="B3" s="109"/>
      <c r="C3" s="109"/>
      <c r="D3" s="109"/>
    </row>
    <row r="4" spans="1:4" ht="21" customHeight="1">
      <c r="A4" s="110" t="s">
        <v>10</v>
      </c>
      <c r="B4" s="111"/>
      <c r="C4" s="19"/>
      <c r="D4" s="20" t="s">
        <v>31</v>
      </c>
    </row>
    <row r="5" spans="1:5" s="2" customFormat="1" ht="27" customHeight="1">
      <c r="A5" s="9">
        <v>1</v>
      </c>
      <c r="B5" s="14" t="s">
        <v>18</v>
      </c>
      <c r="C5" s="7" t="s">
        <v>1</v>
      </c>
      <c r="D5" s="10">
        <f>894455.13-25450.32-7418.24-6452.14+D9</f>
        <v>878921.43</v>
      </c>
      <c r="E5" s="61" t="s">
        <v>83</v>
      </c>
    </row>
    <row r="6" spans="1:4" s="2" customFormat="1" ht="27" customHeight="1">
      <c r="A6" s="37" t="s">
        <v>11</v>
      </c>
      <c r="B6" s="14" t="s">
        <v>16</v>
      </c>
      <c r="C6" s="7"/>
      <c r="D6" s="10">
        <f>92415.36+41046.82+34687.76+4905.69+86256.13+69952+21358.32+112036.63+5000+39231.94+2200+18985.44+69385.35+1306.81+50458.28+20976.23-D8</f>
        <v>660646.24</v>
      </c>
    </row>
    <row r="7" spans="1:4" s="2" customFormat="1" ht="27" customHeight="1">
      <c r="A7" s="38"/>
      <c r="B7" s="16" t="s">
        <v>12</v>
      </c>
      <c r="C7" s="7"/>
      <c r="D7" s="10">
        <f>36293.82+25472.45+21711.12+6220.63+34921.31+1650+10906.36+550+5529.47+19985.78+16107.99+5582.74</f>
        <v>184931.66999999998</v>
      </c>
    </row>
    <row r="8" spans="1:4" s="2" customFormat="1" ht="27" customHeight="1">
      <c r="A8" s="38"/>
      <c r="B8" s="16" t="s">
        <v>60</v>
      </c>
      <c r="C8" s="7"/>
      <c r="D8" s="10">
        <v>9556.52</v>
      </c>
    </row>
    <row r="9" spans="1:7" s="2" customFormat="1" ht="27" customHeight="1">
      <c r="A9" s="38"/>
      <c r="B9" s="16" t="s">
        <v>26</v>
      </c>
      <c r="C9" s="7"/>
      <c r="D9" s="10">
        <f>G9</f>
        <v>23787</v>
      </c>
      <c r="E9" s="61" t="s">
        <v>69</v>
      </c>
      <c r="G9" s="2">
        <f>25954+7675-7596-2246</f>
        <v>23787</v>
      </c>
    </row>
    <row r="10" spans="1:9" s="2" customFormat="1" ht="27" customHeight="1">
      <c r="A10" s="38"/>
      <c r="B10" s="16" t="s">
        <v>41</v>
      </c>
      <c r="C10" s="7"/>
      <c r="D10" s="10">
        <v>0</v>
      </c>
      <c r="I10" s="60">
        <f>SUM(D6:D16)</f>
        <v>878921.4299999999</v>
      </c>
    </row>
    <row r="11" spans="1:9" s="2" customFormat="1" ht="27" customHeight="1">
      <c r="A11" s="38"/>
      <c r="B11" s="16" t="s">
        <v>14</v>
      </c>
      <c r="C11" s="7"/>
      <c r="D11" s="10">
        <v>0</v>
      </c>
      <c r="I11" s="60">
        <f>D5</f>
        <v>878921.43</v>
      </c>
    </row>
    <row r="12" spans="1:9" s="2" customFormat="1" ht="38.25">
      <c r="A12" s="38"/>
      <c r="B12" s="17" t="s">
        <v>15</v>
      </c>
      <c r="C12" s="7"/>
      <c r="D12" s="10">
        <v>0</v>
      </c>
      <c r="I12" s="60">
        <f>I10-I11</f>
        <v>0</v>
      </c>
    </row>
    <row r="13" spans="1:4" s="2" customFormat="1" ht="25.5">
      <c r="A13" s="38"/>
      <c r="B13" s="21" t="s">
        <v>48</v>
      </c>
      <c r="C13" s="7"/>
      <c r="D13" s="10">
        <v>0</v>
      </c>
    </row>
    <row r="14" spans="1:4" s="2" customFormat="1" ht="20.25" customHeight="1">
      <c r="A14" s="38"/>
      <c r="B14" s="17" t="s">
        <v>17</v>
      </c>
      <c r="C14" s="7"/>
      <c r="D14" s="10">
        <v>0</v>
      </c>
    </row>
    <row r="15" spans="1:4" s="2" customFormat="1" ht="20.25" customHeight="1">
      <c r="A15" s="38"/>
      <c r="B15" s="17" t="s">
        <v>28</v>
      </c>
      <c r="C15" s="7"/>
      <c r="D15" s="10">
        <v>0</v>
      </c>
    </row>
    <row r="16" spans="1:4" s="2" customFormat="1" ht="20.25" customHeight="1">
      <c r="A16" s="39"/>
      <c r="B16" s="17" t="s">
        <v>20</v>
      </c>
      <c r="C16" s="7"/>
      <c r="D16" s="10">
        <v>0</v>
      </c>
    </row>
    <row r="17" spans="1:5" s="2" customFormat="1" ht="38.25">
      <c r="A17" s="22">
        <v>2</v>
      </c>
      <c r="B17" s="21" t="s">
        <v>49</v>
      </c>
      <c r="C17" s="23" t="s">
        <v>1</v>
      </c>
      <c r="D17" s="10">
        <v>14115.39</v>
      </c>
      <c r="E17" s="2" t="s">
        <v>75</v>
      </c>
    </row>
    <row r="18" spans="1:4" s="2" customFormat="1" ht="25.5">
      <c r="A18" s="22">
        <v>3</v>
      </c>
      <c r="B18" s="17" t="s">
        <v>19</v>
      </c>
      <c r="C18" s="23" t="s">
        <v>1</v>
      </c>
      <c r="D18" s="10">
        <v>0</v>
      </c>
    </row>
    <row r="19" spans="1:4" s="2" customFormat="1" ht="25.5">
      <c r="A19" s="22">
        <v>4</v>
      </c>
      <c r="B19" s="24" t="s">
        <v>76</v>
      </c>
      <c r="C19" s="8" t="s">
        <v>1</v>
      </c>
      <c r="D19" s="10">
        <f>6906.87+60+135.2+2410+800+23.8+1002+240+9552.14+1299.61</f>
        <v>22429.62</v>
      </c>
    </row>
    <row r="20" spans="1:5" s="2" customFormat="1" ht="20.25">
      <c r="A20" s="22">
        <v>5</v>
      </c>
      <c r="B20" s="25" t="s">
        <v>21</v>
      </c>
      <c r="C20" s="8" t="s">
        <v>1</v>
      </c>
      <c r="D20" s="73">
        <f>4111.19+33.14+20.93+26193.52-662+468</f>
        <v>30164.78</v>
      </c>
      <c r="E20" s="61" t="s">
        <v>77</v>
      </c>
    </row>
    <row r="21" spans="1:4" s="2" customFormat="1" ht="20.25" customHeight="1">
      <c r="A21" s="112" t="s">
        <v>27</v>
      </c>
      <c r="B21" s="112"/>
      <c r="C21" s="113"/>
      <c r="D21" s="68">
        <f>SUM(D5+D17+D18+D19+D20)</f>
        <v>945631.2200000001</v>
      </c>
    </row>
    <row r="22" spans="1:4" ht="38.25">
      <c r="A22" s="22">
        <v>6</v>
      </c>
      <c r="B22" s="25" t="s">
        <v>34</v>
      </c>
      <c r="C22" s="4" t="s">
        <v>1</v>
      </c>
      <c r="D22" s="43">
        <v>0</v>
      </c>
    </row>
    <row r="23" spans="1:4" s="2" customFormat="1" ht="20.25" customHeight="1">
      <c r="A23" s="114" t="s">
        <v>22</v>
      </c>
      <c r="B23" s="114"/>
      <c r="C23" s="114"/>
      <c r="D23" s="71">
        <f>D21+D22</f>
        <v>945631.2200000001</v>
      </c>
    </row>
    <row r="24" spans="1:4" s="2" customFormat="1" ht="20.25" customHeight="1">
      <c r="A24" s="107" t="s">
        <v>23</v>
      </c>
      <c r="B24" s="107"/>
      <c r="C24" s="107"/>
      <c r="D24" s="20" t="s">
        <v>31</v>
      </c>
    </row>
    <row r="25" spans="1:4" ht="27" customHeight="1">
      <c r="A25" s="40">
        <v>7</v>
      </c>
      <c r="B25" s="14" t="s">
        <v>35</v>
      </c>
      <c r="C25" s="7" t="s">
        <v>0</v>
      </c>
      <c r="D25" s="12">
        <v>0</v>
      </c>
    </row>
    <row r="26" spans="1:4" ht="27" customHeight="1">
      <c r="A26" s="11">
        <v>8</v>
      </c>
      <c r="B26" s="15" t="s">
        <v>135</v>
      </c>
      <c r="C26" s="8" t="s">
        <v>0</v>
      </c>
      <c r="D26" s="12"/>
    </row>
    <row r="27" spans="1:5" ht="27" customHeight="1">
      <c r="A27" s="40">
        <v>9</v>
      </c>
      <c r="B27" s="15" t="s">
        <v>36</v>
      </c>
      <c r="C27" s="8" t="s">
        <v>0</v>
      </c>
      <c r="D27" s="12">
        <f>4950-95-1143</f>
        <v>3712</v>
      </c>
      <c r="E27" s="1" t="s">
        <v>79</v>
      </c>
    </row>
    <row r="28" spans="1:4" ht="27" customHeight="1">
      <c r="A28" s="11">
        <v>10</v>
      </c>
      <c r="B28" s="15" t="s">
        <v>2</v>
      </c>
      <c r="C28" s="8" t="s">
        <v>0</v>
      </c>
      <c r="D28" s="12">
        <f>60+800+1002+240</f>
        <v>2102</v>
      </c>
    </row>
    <row r="29" spans="1:4" ht="27" customHeight="1">
      <c r="A29" s="40">
        <v>11</v>
      </c>
      <c r="B29" s="15" t="s">
        <v>3</v>
      </c>
      <c r="C29" s="8" t="s">
        <v>0</v>
      </c>
      <c r="D29" s="12">
        <f>135.2+2410+23.8</f>
        <v>2569</v>
      </c>
    </row>
    <row r="30" spans="1:5" ht="27" customHeight="1">
      <c r="A30" s="11">
        <v>12</v>
      </c>
      <c r="B30" s="15" t="s">
        <v>81</v>
      </c>
      <c r="C30" s="8" t="s">
        <v>0</v>
      </c>
      <c r="D30" s="12">
        <v>14115.39</v>
      </c>
      <c r="E30" s="1" t="s">
        <v>67</v>
      </c>
    </row>
    <row r="31" spans="1:5" ht="27" customHeight="1">
      <c r="A31" s="40">
        <v>13</v>
      </c>
      <c r="B31" s="15" t="s">
        <v>37</v>
      </c>
      <c r="C31" s="8" t="s">
        <v>0</v>
      </c>
      <c r="D31" s="12">
        <v>9552.14</v>
      </c>
      <c r="E31" s="1" t="s">
        <v>67</v>
      </c>
    </row>
    <row r="32" spans="1:4" ht="27" customHeight="1">
      <c r="A32" s="11">
        <v>14</v>
      </c>
      <c r="B32" s="15" t="s">
        <v>30</v>
      </c>
      <c r="C32" s="36" t="s">
        <v>0</v>
      </c>
      <c r="D32" s="12">
        <v>0</v>
      </c>
    </row>
    <row r="33" spans="1:4" ht="27" customHeight="1">
      <c r="A33" s="40">
        <v>15</v>
      </c>
      <c r="B33" s="15" t="s">
        <v>29</v>
      </c>
      <c r="C33" s="8" t="s">
        <v>0</v>
      </c>
      <c r="D33" s="12">
        <v>0</v>
      </c>
    </row>
    <row r="34" spans="1:4" ht="27" customHeight="1">
      <c r="A34" s="11">
        <v>16</v>
      </c>
      <c r="B34" s="15" t="s">
        <v>38</v>
      </c>
      <c r="C34" s="8" t="s">
        <v>0</v>
      </c>
      <c r="D34" s="12">
        <v>0</v>
      </c>
    </row>
    <row r="35" spans="1:4" ht="27" customHeight="1">
      <c r="A35" s="40">
        <v>17</v>
      </c>
      <c r="B35" s="27" t="s">
        <v>7</v>
      </c>
      <c r="C35" s="8" t="s">
        <v>0</v>
      </c>
      <c r="D35" s="12">
        <v>0</v>
      </c>
    </row>
    <row r="36" spans="1:4" ht="27" customHeight="1">
      <c r="A36" s="11">
        <v>18</v>
      </c>
      <c r="B36" s="28" t="s">
        <v>8</v>
      </c>
      <c r="C36" s="8" t="s">
        <v>0</v>
      </c>
      <c r="D36" s="12">
        <v>1299.61</v>
      </c>
    </row>
    <row r="37" spans="1:4" ht="27" customHeight="1">
      <c r="A37" s="40">
        <v>19</v>
      </c>
      <c r="B37" s="28" t="s">
        <v>9</v>
      </c>
      <c r="C37" s="8" t="s">
        <v>0</v>
      </c>
      <c r="D37" s="12">
        <v>4905.69</v>
      </c>
    </row>
    <row r="38" spans="1:6" ht="27" customHeight="1">
      <c r="A38" s="40">
        <v>20</v>
      </c>
      <c r="B38" s="64" t="s">
        <v>40</v>
      </c>
      <c r="C38" s="8" t="s">
        <v>0</v>
      </c>
      <c r="D38" s="63">
        <f>D36*23.8%+D37*23.8%+1143</f>
        <v>2619.8614</v>
      </c>
      <c r="E38" s="59" t="s">
        <v>62</v>
      </c>
      <c r="F38" s="1" t="s">
        <v>78</v>
      </c>
    </row>
    <row r="39" spans="1:5" ht="27" customHeight="1">
      <c r="A39" s="40">
        <v>21</v>
      </c>
      <c r="B39" s="25" t="s">
        <v>39</v>
      </c>
      <c r="C39" s="8" t="s">
        <v>0</v>
      </c>
      <c r="D39" s="66">
        <f>33.14+D37*2.55%</f>
        <v>158.235095</v>
      </c>
      <c r="E39" s="59"/>
    </row>
    <row r="40" spans="1:4" ht="27" customHeight="1">
      <c r="A40" s="11">
        <v>22</v>
      </c>
      <c r="B40" s="41" t="s">
        <v>33</v>
      </c>
      <c r="C40" s="4" t="s">
        <v>0</v>
      </c>
      <c r="D40" s="13">
        <v>0</v>
      </c>
    </row>
    <row r="41" spans="1:4" ht="30" customHeight="1">
      <c r="A41" s="106" t="s">
        <v>24</v>
      </c>
      <c r="B41" s="106"/>
      <c r="C41" s="106"/>
      <c r="D41" s="32">
        <f>SUM(D25:D40)</f>
        <v>41033.92649500001</v>
      </c>
    </row>
    <row r="42" spans="1:4" ht="30" customHeight="1">
      <c r="A42" s="107" t="s">
        <v>25</v>
      </c>
      <c r="B42" s="107"/>
      <c r="C42" s="107"/>
      <c r="D42" s="34">
        <f>D23-D41</f>
        <v>904597.2935050001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41:C41"/>
    <mergeCell ref="A42:C42"/>
    <mergeCell ref="A2:D2"/>
    <mergeCell ref="A3:D3"/>
    <mergeCell ref="A4:B4"/>
    <mergeCell ref="A23:C23"/>
    <mergeCell ref="A21:C21"/>
    <mergeCell ref="A24:C24"/>
  </mergeCells>
  <conditionalFormatting sqref="D25:D40 D5:D23">
    <cfRule type="expression" priority="3" dxfId="0" stopIfTrue="1">
      <formula>ISBLANK(D5)</formula>
    </cfRule>
  </conditionalFormatting>
  <printOptions gridLines="1"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40">
      <selection activeCell="D6" sqref="D6"/>
    </sheetView>
  </sheetViews>
  <sheetFormatPr defaultColWidth="9.140625" defaultRowHeight="12.75"/>
  <cols>
    <col min="1" max="1" width="6.140625" style="3" customWidth="1"/>
    <col min="2" max="2" width="97.28125" style="1" customWidth="1"/>
    <col min="3" max="3" width="5.7109375" style="3" customWidth="1"/>
    <col min="4" max="4" width="29.7109375" style="3" customWidth="1"/>
    <col min="5" max="5" width="11.57421875" style="1" bestFit="1" customWidth="1"/>
    <col min="6" max="6" width="15.421875" style="1" customWidth="1"/>
    <col min="7" max="7" width="9.57421875" style="1" bestFit="1" customWidth="1"/>
    <col min="8" max="8" width="9.140625" style="1" customWidth="1"/>
    <col min="9" max="9" width="12.00390625" style="1" bestFit="1" customWidth="1"/>
    <col min="10" max="10" width="10.57421875" style="1" bestFit="1" customWidth="1"/>
    <col min="11" max="16384" width="9.140625" style="1" customWidth="1"/>
  </cols>
  <sheetData>
    <row r="1" spans="1:4" ht="18">
      <c r="A1" s="105"/>
      <c r="B1" s="105"/>
      <c r="C1" s="105"/>
      <c r="D1" s="105"/>
    </row>
    <row r="2" spans="1:4" ht="31.5" customHeight="1">
      <c r="A2" s="108" t="s">
        <v>5</v>
      </c>
      <c r="B2" s="108"/>
      <c r="C2" s="108"/>
      <c r="D2" s="108"/>
    </row>
    <row r="3" spans="1:4" ht="32.25" customHeight="1">
      <c r="A3" s="109" t="s">
        <v>6</v>
      </c>
      <c r="B3" s="109"/>
      <c r="C3" s="109"/>
      <c r="D3" s="109"/>
    </row>
    <row r="4" spans="1:4" ht="30">
      <c r="A4" s="110" t="s">
        <v>10</v>
      </c>
      <c r="B4" s="111"/>
      <c r="C4" s="19"/>
      <c r="D4" s="35" t="s">
        <v>159</v>
      </c>
    </row>
    <row r="5" spans="1:5" s="2" customFormat="1" ht="27" customHeight="1">
      <c r="A5" s="9">
        <v>1</v>
      </c>
      <c r="B5" s="50" t="s">
        <v>18</v>
      </c>
      <c r="C5" s="7" t="s">
        <v>1</v>
      </c>
      <c r="D5" s="10">
        <f>+D6+D7+D8+D9+D13</f>
        <v>852332.5673800048</v>
      </c>
      <c r="E5" s="61" t="s">
        <v>160</v>
      </c>
    </row>
    <row r="6" spans="1:5" s="2" customFormat="1" ht="27" customHeight="1">
      <c r="A6" s="37" t="s">
        <v>11</v>
      </c>
      <c r="B6" s="50" t="s">
        <v>16</v>
      </c>
      <c r="C6" s="7"/>
      <c r="D6" s="10">
        <f>91917.56+36727.91+34921.58+6964.26+74953.56+69074.64+21358.32+113796.55+39941.34+260.14+19178.23+60372.61+1306.81+50480.24+20976.23+2373.4-10082.4</f>
        <v>634520.98</v>
      </c>
      <c r="E6" s="61" t="s">
        <v>161</v>
      </c>
    </row>
    <row r="7" spans="1:4" s="2" customFormat="1" ht="27" customHeight="1">
      <c r="A7" s="38"/>
      <c r="B7" s="55" t="s">
        <v>12</v>
      </c>
      <c r="C7" s="7"/>
      <c r="D7" s="10">
        <f>35428.6+23839.73+705.94+21661.23+6847.84+37957.34+11164.96+64.54+5550.3+18411.05+16005+6298.65</f>
        <v>183935.17999999996</v>
      </c>
    </row>
    <row r="8" spans="1:5" s="2" customFormat="1" ht="27" customHeight="1">
      <c r="A8" s="38"/>
      <c r="B8" s="55" t="s">
        <v>13</v>
      </c>
      <c r="C8" s="7"/>
      <c r="D8" s="10">
        <v>10082.4</v>
      </c>
      <c r="E8" s="103"/>
    </row>
    <row r="9" spans="1:7" s="2" customFormat="1" ht="27" customHeight="1">
      <c r="A9" s="38"/>
      <c r="B9" s="55" t="s">
        <v>26</v>
      </c>
      <c r="C9" s="7"/>
      <c r="D9" s="10">
        <f>+'[1]2014 su media triennio'!$N$31+'[1]2014 su media triennio'!$R$31-'[1]2014 su media triennio'!$N$60-'[1]2014 su media triennio'!$R$60</f>
        <v>23794.007380004885</v>
      </c>
      <c r="E9" s="61" t="s">
        <v>84</v>
      </c>
      <c r="G9" s="2">
        <f>25954+7638-7596-2202</f>
        <v>23794</v>
      </c>
    </row>
    <row r="10" spans="1:9" s="2" customFormat="1" ht="27" customHeight="1">
      <c r="A10" s="38"/>
      <c r="B10" s="55" t="s">
        <v>41</v>
      </c>
      <c r="C10" s="7"/>
      <c r="D10" s="10">
        <v>0</v>
      </c>
      <c r="I10" s="60">
        <f>SUM(D6:D16)</f>
        <v>852332.5673800048</v>
      </c>
    </row>
    <row r="11" spans="1:9" s="2" customFormat="1" ht="27" customHeight="1">
      <c r="A11" s="38"/>
      <c r="B11" s="55" t="s">
        <v>14</v>
      </c>
      <c r="C11" s="7"/>
      <c r="D11" s="10">
        <v>0</v>
      </c>
      <c r="I11" s="60">
        <f>D5</f>
        <v>852332.5673800048</v>
      </c>
    </row>
    <row r="12" spans="1:9" s="2" customFormat="1" ht="38.25">
      <c r="A12" s="38"/>
      <c r="B12" s="56" t="s">
        <v>15</v>
      </c>
      <c r="C12" s="7"/>
      <c r="D12" s="10">
        <v>0</v>
      </c>
      <c r="I12" s="60">
        <f>I10-I11</f>
        <v>0</v>
      </c>
    </row>
    <row r="13" spans="1:5" s="2" customFormat="1" ht="25.5">
      <c r="A13" s="38"/>
      <c r="B13" s="57" t="s">
        <v>48</v>
      </c>
      <c r="C13" s="7"/>
      <c r="D13" s="10">
        <v>0</v>
      </c>
      <c r="E13" s="61"/>
    </row>
    <row r="14" spans="1:4" s="2" customFormat="1" ht="20.25" customHeight="1">
      <c r="A14" s="38"/>
      <c r="B14" s="56" t="s">
        <v>17</v>
      </c>
      <c r="C14" s="7"/>
      <c r="D14" s="10">
        <v>0</v>
      </c>
    </row>
    <row r="15" spans="1:4" s="2" customFormat="1" ht="20.25" customHeight="1">
      <c r="A15" s="38"/>
      <c r="B15" s="56" t="s">
        <v>28</v>
      </c>
      <c r="C15" s="7"/>
      <c r="D15" s="10">
        <v>0</v>
      </c>
    </row>
    <row r="16" spans="1:4" s="2" customFormat="1" ht="20.25" customHeight="1">
      <c r="A16" s="39"/>
      <c r="B16" s="56" t="s">
        <v>20</v>
      </c>
      <c r="C16" s="7"/>
      <c r="D16" s="10">
        <v>0</v>
      </c>
    </row>
    <row r="17" spans="1:5" s="2" customFormat="1" ht="38.25">
      <c r="A17" s="22">
        <v>2</v>
      </c>
      <c r="B17" s="57" t="s">
        <v>49</v>
      </c>
      <c r="C17" s="23" t="s">
        <v>1</v>
      </c>
      <c r="D17" s="10">
        <f>20000+90000+355.92</f>
        <v>110355.92</v>
      </c>
      <c r="E17" s="61" t="s">
        <v>153</v>
      </c>
    </row>
    <row r="18" spans="1:4" s="2" customFormat="1" ht="25.5">
      <c r="A18" s="22">
        <v>3</v>
      </c>
      <c r="B18" s="56" t="s">
        <v>19</v>
      </c>
      <c r="C18" s="23" t="s">
        <v>1</v>
      </c>
      <c r="D18" s="10">
        <v>0</v>
      </c>
    </row>
    <row r="19" spans="1:4" s="2" customFormat="1" ht="25.5">
      <c r="A19" s="22">
        <v>4</v>
      </c>
      <c r="B19" s="58" t="s">
        <v>125</v>
      </c>
      <c r="C19" s="8" t="s">
        <v>1</v>
      </c>
      <c r="D19" s="10">
        <f>7786.36+370+100+2410+100+1090+35.7+1500+14400+12463.12+500+625+10996.96</f>
        <v>52377.14</v>
      </c>
    </row>
    <row r="20" spans="1:11" s="2" customFormat="1" ht="20.25">
      <c r="A20" s="22">
        <v>5</v>
      </c>
      <c r="B20" s="75" t="s">
        <v>126</v>
      </c>
      <c r="C20" s="23" t="s">
        <v>1</v>
      </c>
      <c r="D20" s="73">
        <f>6444.09+201.74+363.75+49000+22.11</f>
        <v>56031.69</v>
      </c>
      <c r="E20" s="61"/>
      <c r="J20" s="73">
        <f>2500+200+120+15000-194+450+20+250+3000</f>
        <v>21346</v>
      </c>
      <c r="K20" s="60"/>
    </row>
    <row r="21" spans="1:4" s="2" customFormat="1" ht="20.25" customHeight="1">
      <c r="A21" s="112" t="s">
        <v>27</v>
      </c>
      <c r="B21" s="112"/>
      <c r="C21" s="112"/>
      <c r="D21" s="77">
        <f>SUM(D5+D17+D18+D19+D20)</f>
        <v>1071097.3173800048</v>
      </c>
    </row>
    <row r="22" spans="1:4" ht="38.25">
      <c r="A22" s="18">
        <v>6</v>
      </c>
      <c r="B22" s="25" t="s">
        <v>34</v>
      </c>
      <c r="C22" s="33" t="s">
        <v>1</v>
      </c>
      <c r="D22" s="12">
        <v>0</v>
      </c>
    </row>
    <row r="23" spans="1:4" s="2" customFormat="1" ht="20.25" customHeight="1">
      <c r="A23" s="107" t="s">
        <v>22</v>
      </c>
      <c r="B23" s="107"/>
      <c r="C23" s="107"/>
      <c r="D23" s="77">
        <f>D21+D22</f>
        <v>1071097.3173800048</v>
      </c>
    </row>
    <row r="24" spans="1:4" s="2" customFormat="1" ht="30">
      <c r="A24" s="107" t="s">
        <v>23</v>
      </c>
      <c r="B24" s="107"/>
      <c r="C24" s="107"/>
      <c r="D24" s="35" t="s">
        <v>159</v>
      </c>
    </row>
    <row r="25" spans="1:4" ht="27" customHeight="1">
      <c r="A25" s="40">
        <v>7</v>
      </c>
      <c r="B25" s="50" t="s">
        <v>35</v>
      </c>
      <c r="C25" s="7" t="s">
        <v>0</v>
      </c>
      <c r="D25" s="12">
        <v>0</v>
      </c>
    </row>
    <row r="26" spans="1:4" ht="27" customHeight="1">
      <c r="A26" s="11">
        <v>8</v>
      </c>
      <c r="B26" s="51" t="s">
        <v>136</v>
      </c>
      <c r="C26" s="8" t="s">
        <v>0</v>
      </c>
      <c r="D26" s="12">
        <v>0</v>
      </c>
    </row>
    <row r="27" spans="1:5" ht="27" customHeight="1">
      <c r="A27" s="40">
        <v>9</v>
      </c>
      <c r="B27" s="51" t="s">
        <v>36</v>
      </c>
      <c r="C27" s="8" t="s">
        <v>0</v>
      </c>
      <c r="D27" s="12">
        <f>22277</f>
        <v>22277</v>
      </c>
      <c r="E27" s="1" t="s">
        <v>86</v>
      </c>
    </row>
    <row r="28" spans="1:4" ht="27" customHeight="1">
      <c r="A28" s="11">
        <v>10</v>
      </c>
      <c r="B28" s="51" t="s">
        <v>2</v>
      </c>
      <c r="C28" s="8" t="s">
        <v>0</v>
      </c>
      <c r="D28" s="12">
        <f>370+100+1090+1500+625</f>
        <v>3685</v>
      </c>
    </row>
    <row r="29" spans="1:4" ht="27" customHeight="1">
      <c r="A29" s="40">
        <v>11</v>
      </c>
      <c r="B29" s="51" t="s">
        <v>3</v>
      </c>
      <c r="C29" s="8" t="s">
        <v>0</v>
      </c>
      <c r="D29" s="12">
        <f>100+2410+35.7+500</f>
        <v>3045.7</v>
      </c>
    </row>
    <row r="30" spans="1:4" ht="27" customHeight="1">
      <c r="A30" s="11">
        <v>12</v>
      </c>
      <c r="B30" s="51" t="s">
        <v>56</v>
      </c>
      <c r="C30" s="8" t="s">
        <v>0</v>
      </c>
      <c r="D30" s="12">
        <f>20000+90000</f>
        <v>110000</v>
      </c>
    </row>
    <row r="31" spans="1:5" ht="27" customHeight="1">
      <c r="A31" s="40">
        <v>13</v>
      </c>
      <c r="B31" s="51" t="s">
        <v>37</v>
      </c>
      <c r="C31" s="8" t="s">
        <v>0</v>
      </c>
      <c r="D31" s="100">
        <f>14400+12463.12</f>
        <v>26863.120000000003</v>
      </c>
      <c r="E31" s="1" t="s">
        <v>98</v>
      </c>
    </row>
    <row r="32" spans="1:5" ht="27" customHeight="1">
      <c r="A32" s="11">
        <v>14</v>
      </c>
      <c r="B32" s="51" t="s">
        <v>30</v>
      </c>
      <c r="C32" s="36" t="s">
        <v>0</v>
      </c>
      <c r="D32" s="100">
        <v>0</v>
      </c>
      <c r="E32" s="1" t="s">
        <v>90</v>
      </c>
    </row>
    <row r="33" spans="1:4" ht="27" customHeight="1">
      <c r="A33" s="40">
        <v>15</v>
      </c>
      <c r="B33" s="51" t="s">
        <v>29</v>
      </c>
      <c r="C33" s="8" t="s">
        <v>0</v>
      </c>
      <c r="D33" s="100">
        <v>0</v>
      </c>
    </row>
    <row r="34" spans="1:4" ht="27" customHeight="1">
      <c r="A34" s="11">
        <v>16</v>
      </c>
      <c r="B34" s="51" t="s">
        <v>38</v>
      </c>
      <c r="C34" s="8" t="s">
        <v>0</v>
      </c>
      <c r="D34" s="100">
        <v>0</v>
      </c>
    </row>
    <row r="35" spans="1:4" ht="27" customHeight="1">
      <c r="A35" s="40">
        <v>17</v>
      </c>
      <c r="B35" s="52" t="s">
        <v>7</v>
      </c>
      <c r="C35" s="8" t="s">
        <v>0</v>
      </c>
      <c r="D35" s="100">
        <v>0</v>
      </c>
    </row>
    <row r="36" spans="1:5" ht="27" customHeight="1">
      <c r="A36" s="11">
        <v>18</v>
      </c>
      <c r="B36" s="53" t="s">
        <v>8</v>
      </c>
      <c r="C36" s="8" t="s">
        <v>0</v>
      </c>
      <c r="D36" s="100">
        <v>10996.96</v>
      </c>
      <c r="E36" s="31" t="s">
        <v>124</v>
      </c>
    </row>
    <row r="37" spans="1:4" ht="27" customHeight="1">
      <c r="A37" s="40">
        <v>19</v>
      </c>
      <c r="B37" s="53" t="s">
        <v>9</v>
      </c>
      <c r="C37" s="8" t="s">
        <v>0</v>
      </c>
      <c r="D37" s="100">
        <v>6964.26</v>
      </c>
    </row>
    <row r="38" spans="1:6" ht="27" customHeight="1">
      <c r="A38" s="40">
        <v>20</v>
      </c>
      <c r="B38" s="76" t="s">
        <v>40</v>
      </c>
      <c r="C38" s="80" t="s">
        <v>0</v>
      </c>
      <c r="D38" s="101">
        <f>7131+1657.5+35.17</f>
        <v>8823.67</v>
      </c>
      <c r="E38" s="31" t="s">
        <v>88</v>
      </c>
      <c r="F38" s="31"/>
    </row>
    <row r="39" spans="1:5" ht="27" customHeight="1">
      <c r="A39" s="40">
        <v>21</v>
      </c>
      <c r="B39" s="75" t="s">
        <v>39</v>
      </c>
      <c r="C39" s="81" t="s">
        <v>0</v>
      </c>
      <c r="D39" s="102">
        <f>363.75+591.96</f>
        <v>955.71</v>
      </c>
      <c r="E39" s="104" t="s">
        <v>89</v>
      </c>
    </row>
    <row r="40" spans="1:4" ht="27" customHeight="1">
      <c r="A40" s="45">
        <v>22</v>
      </c>
      <c r="B40" s="54" t="s">
        <v>33</v>
      </c>
      <c r="C40" s="4" t="s">
        <v>0</v>
      </c>
      <c r="D40" s="102">
        <v>0</v>
      </c>
    </row>
    <row r="41" spans="1:5" ht="51">
      <c r="A41" s="46">
        <v>23</v>
      </c>
      <c r="B41" s="49" t="s">
        <v>45</v>
      </c>
      <c r="C41" s="47" t="s">
        <v>0</v>
      </c>
      <c r="D41" s="48">
        <v>0</v>
      </c>
      <c r="E41" s="1" t="s">
        <v>91</v>
      </c>
    </row>
    <row r="42" spans="1:4" ht="30" customHeight="1">
      <c r="A42" s="107" t="s">
        <v>24</v>
      </c>
      <c r="B42" s="107"/>
      <c r="C42" s="107"/>
      <c r="D42" s="42">
        <f>SUM(D25:D41)</f>
        <v>193611.42</v>
      </c>
    </row>
    <row r="43" spans="1:4" ht="30" customHeight="1">
      <c r="A43" s="107" t="s">
        <v>25</v>
      </c>
      <c r="B43" s="107"/>
      <c r="C43" s="107"/>
      <c r="D43" s="42">
        <f>D23-D42</f>
        <v>877485.8973800048</v>
      </c>
    </row>
    <row r="44" spans="1:4" s="31" customFormat="1" ht="30" customHeight="1">
      <c r="A44" s="29"/>
      <c r="B44" s="29"/>
      <c r="C44" s="29"/>
      <c r="D44" s="30"/>
    </row>
    <row r="45" spans="1:4" s="31" customFormat="1" ht="30" customHeight="1">
      <c r="A45" s="29"/>
      <c r="B45" s="117" t="s">
        <v>44</v>
      </c>
      <c r="C45" s="117"/>
      <c r="D45" s="44">
        <f>('2011'!D42+'2012'!D42+'2013'!D42)/3</f>
        <v>919490.702065</v>
      </c>
    </row>
    <row r="46" spans="1:4" ht="12.75">
      <c r="A46" s="5"/>
      <c r="B46" s="115"/>
      <c r="C46" s="115"/>
      <c r="D46" s="5"/>
    </row>
    <row r="47" spans="1:4" ht="15">
      <c r="A47" s="5"/>
      <c r="B47" s="116" t="s">
        <v>47</v>
      </c>
      <c r="C47" s="116"/>
      <c r="D47" s="6" t="str">
        <f>IF(D43&lt;D45,"SI","NO")</f>
        <v>SI</v>
      </c>
    </row>
    <row r="48" spans="1:4" ht="12.75">
      <c r="A48" s="5"/>
      <c r="B48" s="115"/>
      <c r="C48" s="115"/>
      <c r="D48" s="5"/>
    </row>
    <row r="49" spans="1:4" ht="15">
      <c r="A49" s="5"/>
      <c r="B49" s="116" t="s">
        <v>32</v>
      </c>
      <c r="C49" s="116"/>
      <c r="D49" s="74">
        <f>IF(D43&lt;D45,D45-D43-1,0)</f>
        <v>42003.80468499521</v>
      </c>
    </row>
    <row r="52" ht="12.75">
      <c r="B52" s="1" t="s">
        <v>115</v>
      </c>
    </row>
    <row r="53" ht="12.75">
      <c r="B53" s="82" t="s">
        <v>100</v>
      </c>
    </row>
    <row r="54" ht="12.75">
      <c r="B54" s="1" t="s">
        <v>101</v>
      </c>
    </row>
    <row r="55" ht="12.75">
      <c r="B55" s="1" t="s">
        <v>102</v>
      </c>
    </row>
    <row r="56" ht="12.75">
      <c r="B56" s="1" t="s">
        <v>103</v>
      </c>
    </row>
    <row r="57" ht="12.75">
      <c r="B57" s="1" t="s">
        <v>108</v>
      </c>
    </row>
    <row r="59" ht="12.75">
      <c r="B59" s="82" t="s">
        <v>104</v>
      </c>
    </row>
    <row r="60" ht="12.75">
      <c r="B60" s="1" t="s">
        <v>141</v>
      </c>
    </row>
    <row r="61" ht="12.75">
      <c r="B61" s="1" t="s">
        <v>142</v>
      </c>
    </row>
    <row r="62" ht="12.75">
      <c r="B62" s="1" t="s">
        <v>107</v>
      </c>
    </row>
    <row r="63" ht="12.75">
      <c r="B63" s="1" t="s">
        <v>143</v>
      </c>
    </row>
    <row r="65" ht="12.75">
      <c r="B65" s="82" t="s">
        <v>109</v>
      </c>
    </row>
    <row r="66" ht="12.75">
      <c r="B66" s="1" t="s">
        <v>110</v>
      </c>
    </row>
    <row r="67" ht="12.75">
      <c r="B67" s="1" t="s">
        <v>111</v>
      </c>
    </row>
    <row r="68" ht="12.75">
      <c r="B68" s="1" t="s">
        <v>112</v>
      </c>
    </row>
    <row r="69" ht="12.75">
      <c r="B69" s="1" t="s">
        <v>113</v>
      </c>
    </row>
    <row r="72" ht="12.75">
      <c r="B72" s="82" t="s">
        <v>114</v>
      </c>
    </row>
    <row r="73" ht="12.75">
      <c r="B73" s="1" t="s">
        <v>139</v>
      </c>
    </row>
    <row r="74" ht="12.75">
      <c r="B74" s="1" t="s">
        <v>140</v>
      </c>
    </row>
    <row r="77" spans="2:3" ht="12.75">
      <c r="B77" s="82" t="s">
        <v>118</v>
      </c>
      <c r="C77" s="1"/>
    </row>
    <row r="78" spans="2:3" ht="12.75">
      <c r="B78" s="1" t="s">
        <v>119</v>
      </c>
      <c r="C78" s="1"/>
    </row>
    <row r="79" spans="2:3" ht="12.75">
      <c r="B79" s="1" t="s">
        <v>120</v>
      </c>
      <c r="C79" s="1"/>
    </row>
    <row r="80" spans="2:3" ht="12.75">
      <c r="B80" s="72" t="s">
        <v>121</v>
      </c>
      <c r="C80" s="1"/>
    </row>
    <row r="82" ht="12.75">
      <c r="B82" s="1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49:C49"/>
    <mergeCell ref="B45:C45"/>
    <mergeCell ref="A42:C42"/>
    <mergeCell ref="A43:C43"/>
    <mergeCell ref="A1:D1"/>
    <mergeCell ref="B48:C48"/>
    <mergeCell ref="A2:D2"/>
    <mergeCell ref="A3:D3"/>
    <mergeCell ref="A4:B4"/>
    <mergeCell ref="A21:C21"/>
    <mergeCell ref="A23:C23"/>
    <mergeCell ref="A24:C24"/>
    <mergeCell ref="B46:C46"/>
    <mergeCell ref="B47:C47"/>
  </mergeCells>
  <conditionalFormatting sqref="D25:D41 D5:D23 J20">
    <cfRule type="expression" priority="7" dxfId="0" stopIfTrue="1">
      <formula>ISBLANK(D5)</formula>
    </cfRule>
  </conditionalFormatting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88.7109375" style="0" customWidth="1"/>
    <col min="3" max="3" width="5.28125" style="0" customWidth="1"/>
    <col min="4" max="4" width="28.421875" style="0" customWidth="1"/>
    <col min="5" max="5" width="15.421875" style="0" customWidth="1"/>
    <col min="7" max="7" width="11.28125" style="0" customWidth="1"/>
  </cols>
  <sheetData>
    <row r="1" spans="1:4" ht="18">
      <c r="A1" s="105" t="s">
        <v>166</v>
      </c>
      <c r="B1" s="105"/>
      <c r="C1" s="105"/>
      <c r="D1" s="105"/>
    </row>
    <row r="2" spans="1:4" ht="26.25">
      <c r="A2" s="108" t="s">
        <v>5</v>
      </c>
      <c r="B2" s="108"/>
      <c r="C2" s="108"/>
      <c r="D2" s="108"/>
    </row>
    <row r="3" spans="1:4" ht="20.25">
      <c r="A3" s="109" t="s">
        <v>6</v>
      </c>
      <c r="B3" s="109"/>
      <c r="C3" s="109"/>
      <c r="D3" s="109"/>
    </row>
    <row r="4" spans="1:4" ht="30">
      <c r="A4" s="119" t="s">
        <v>10</v>
      </c>
      <c r="B4" s="120"/>
      <c r="C4" s="19"/>
      <c r="D4" s="35" t="s">
        <v>92</v>
      </c>
    </row>
    <row r="5" spans="1:4" ht="28.5" customHeight="1">
      <c r="A5" s="9">
        <v>1</v>
      </c>
      <c r="B5" s="50" t="s">
        <v>18</v>
      </c>
      <c r="C5" s="7" t="s">
        <v>1</v>
      </c>
      <c r="D5" s="10">
        <f>+D6+D7+D8+D9+D13</f>
        <v>896629.6101937869</v>
      </c>
    </row>
    <row r="6" spans="1:5" ht="28.5" customHeight="1">
      <c r="A6" s="37" t="s">
        <v>11</v>
      </c>
      <c r="B6" s="50" t="s">
        <v>16</v>
      </c>
      <c r="C6" s="7"/>
      <c r="D6" s="10">
        <f>'[2]2015 su media triennio'!$N$44-'[2]2015 su media triennio'!$N$31+'[2]2015 su media triennio'!$N$50</f>
        <v>668920.5587380206</v>
      </c>
      <c r="E6" s="96" t="s">
        <v>155</v>
      </c>
    </row>
    <row r="7" spans="1:5" ht="23.25" customHeight="1">
      <c r="A7" s="38"/>
      <c r="B7" s="55" t="s">
        <v>12</v>
      </c>
      <c r="C7" s="7"/>
      <c r="D7" s="10">
        <f>'[2]2015 su media triennio'!$R$44+'[2]2015 su media triennio'!$S$44-'[2]2015 su media triennio'!$R$31+'[2]2015 su media triennio'!$R$50</f>
        <v>192658.2343077288</v>
      </c>
      <c r="E7" s="97" t="s">
        <v>156</v>
      </c>
    </row>
    <row r="8" spans="1:5" ht="30" customHeight="1">
      <c r="A8" s="38"/>
      <c r="B8" s="55" t="s">
        <v>13</v>
      </c>
      <c r="C8" s="7"/>
      <c r="D8" s="10">
        <f>'[2]2015 su media triennio'!$U$47</f>
        <v>10574</v>
      </c>
      <c r="E8" s="97" t="s">
        <v>50</v>
      </c>
    </row>
    <row r="9" spans="1:7" ht="38.25" customHeight="1">
      <c r="A9" s="38"/>
      <c r="B9" s="55" t="s">
        <v>26</v>
      </c>
      <c r="C9" s="7"/>
      <c r="D9" s="10">
        <f>'[2]2015 su media triennio'!$N$31+'[2]2015 su media triennio'!$R$31-'[2]2015 su media triennio'!$N$60-'[2]2015 su media triennio'!$R$60</f>
        <v>23776.817148037462</v>
      </c>
      <c r="E9" s="97" t="s">
        <v>50</v>
      </c>
      <c r="F9" s="61"/>
      <c r="G9" s="2"/>
    </row>
    <row r="10" spans="1:4" ht="33" customHeight="1">
      <c r="A10" s="38"/>
      <c r="B10" s="55" t="s">
        <v>41</v>
      </c>
      <c r="C10" s="7"/>
      <c r="D10" s="10">
        <v>0</v>
      </c>
    </row>
    <row r="11" spans="1:4" ht="26.25" customHeight="1">
      <c r="A11" s="38"/>
      <c r="B11" s="55" t="s">
        <v>14</v>
      </c>
      <c r="C11" s="7"/>
      <c r="D11" s="10">
        <v>0</v>
      </c>
    </row>
    <row r="12" spans="1:4" ht="44.25" customHeight="1">
      <c r="A12" s="38"/>
      <c r="B12" s="56" t="s">
        <v>15</v>
      </c>
      <c r="C12" s="7"/>
      <c r="D12" s="10">
        <v>0</v>
      </c>
    </row>
    <row r="13" spans="1:5" ht="38.25" customHeight="1">
      <c r="A13" s="38"/>
      <c r="B13" s="57" t="s">
        <v>48</v>
      </c>
      <c r="C13" s="7"/>
      <c r="D13" s="10">
        <f>700</f>
        <v>700</v>
      </c>
      <c r="E13" s="97" t="s">
        <v>127</v>
      </c>
    </row>
    <row r="14" spans="1:4" ht="26.25" customHeight="1">
      <c r="A14" s="38"/>
      <c r="B14" s="56" t="s">
        <v>17</v>
      </c>
      <c r="C14" s="7"/>
      <c r="D14" s="10">
        <v>0</v>
      </c>
    </row>
    <row r="15" spans="1:4" ht="26.25" customHeight="1">
      <c r="A15" s="38"/>
      <c r="B15" s="56" t="s">
        <v>28</v>
      </c>
      <c r="C15" s="7"/>
      <c r="D15" s="10">
        <v>0</v>
      </c>
    </row>
    <row r="16" spans="1:4" ht="28.5" customHeight="1">
      <c r="A16" s="39"/>
      <c r="B16" s="56" t="s">
        <v>20</v>
      </c>
      <c r="C16" s="7"/>
      <c r="D16" s="10">
        <v>0</v>
      </c>
    </row>
    <row r="17" spans="1:5" ht="39.75" customHeight="1">
      <c r="A17" s="22">
        <v>2</v>
      </c>
      <c r="B17" s="57" t="s">
        <v>49</v>
      </c>
      <c r="C17" s="23" t="s">
        <v>1</v>
      </c>
      <c r="D17" s="10">
        <v>1000</v>
      </c>
      <c r="E17" s="97" t="s">
        <v>154</v>
      </c>
    </row>
    <row r="18" spans="1:4" ht="33.75" customHeight="1">
      <c r="A18" s="22">
        <v>3</v>
      </c>
      <c r="B18" s="56" t="s">
        <v>19</v>
      </c>
      <c r="C18" s="23" t="s">
        <v>1</v>
      </c>
      <c r="D18" s="10">
        <v>0</v>
      </c>
    </row>
    <row r="19" spans="1:5" ht="37.5" customHeight="1">
      <c r="A19" s="22">
        <v>4</v>
      </c>
      <c r="B19" s="58" t="s">
        <v>125</v>
      </c>
      <c r="C19" s="8" t="s">
        <v>1</v>
      </c>
      <c r="D19" s="10">
        <f>'[2]2015 su media triennio'!$U$48+'[2]2015 su media triennio'!$U$49+'[2]2015 su media triennio'!$U$51+'[2]2015 su media triennio'!$U$52+'[2]2015 su media triennio'!$U$55</f>
        <v>70502.8</v>
      </c>
      <c r="E19" s="97" t="s">
        <v>50</v>
      </c>
    </row>
    <row r="20" spans="1:4" ht="20.25">
      <c r="A20" s="22">
        <v>5</v>
      </c>
      <c r="B20" s="75" t="s">
        <v>21</v>
      </c>
      <c r="C20" s="23" t="s">
        <v>1</v>
      </c>
      <c r="D20" s="73">
        <f>+'[2]2015 su media triennio'!$T$44+'[2]2015 su media triennio'!$T$56-'[2]2015 su media triennio'!$T$60</f>
        <v>59545.279075798426</v>
      </c>
    </row>
    <row r="21" spans="1:5" ht="12.75">
      <c r="A21" s="121" t="s">
        <v>27</v>
      </c>
      <c r="B21" s="122"/>
      <c r="C21" s="123"/>
      <c r="D21" s="77">
        <f>SUM(D5+D17+D18+D19+D20)</f>
        <v>1027677.6892695854</v>
      </c>
      <c r="E21" s="79">
        <f>+D21+'[2]2015 su media triennio'!$U$60</f>
        <v>1038154.1187869387</v>
      </c>
    </row>
    <row r="22" spans="1:4" ht="44.25" customHeight="1">
      <c r="A22" s="18">
        <v>6</v>
      </c>
      <c r="B22" s="25" t="s">
        <v>34</v>
      </c>
      <c r="C22" s="33" t="s">
        <v>1</v>
      </c>
      <c r="D22" s="12">
        <v>0</v>
      </c>
    </row>
    <row r="23" spans="1:4" ht="15.75">
      <c r="A23" s="107" t="s">
        <v>22</v>
      </c>
      <c r="B23" s="107"/>
      <c r="C23" s="107"/>
      <c r="D23" s="71">
        <f>D21+D22</f>
        <v>1027677.6892695854</v>
      </c>
    </row>
    <row r="24" spans="1:4" ht="27" customHeight="1">
      <c r="A24" s="107" t="s">
        <v>23</v>
      </c>
      <c r="B24" s="107"/>
      <c r="C24" s="107"/>
      <c r="D24" s="35" t="s">
        <v>92</v>
      </c>
    </row>
    <row r="25" spans="1:4" ht="40.5" customHeight="1">
      <c r="A25" s="40">
        <v>7</v>
      </c>
      <c r="B25" s="50" t="s">
        <v>35</v>
      </c>
      <c r="C25" s="7" t="s">
        <v>0</v>
      </c>
      <c r="D25" s="12">
        <v>0</v>
      </c>
    </row>
    <row r="26" spans="1:4" ht="24" customHeight="1">
      <c r="A26" s="11">
        <v>8</v>
      </c>
      <c r="B26" s="51" t="s">
        <v>137</v>
      </c>
      <c r="C26" s="8" t="s">
        <v>0</v>
      </c>
      <c r="D26" s="67">
        <v>0</v>
      </c>
    </row>
    <row r="27" spans="1:5" ht="25.5" customHeight="1">
      <c r="A27" s="40">
        <v>9</v>
      </c>
      <c r="B27" s="51" t="s">
        <v>36</v>
      </c>
      <c r="C27" s="8" t="s">
        <v>0</v>
      </c>
      <c r="D27" s="12">
        <f>'[2]2015 su media triennio'!$N$59</f>
        <v>22289.131666666664</v>
      </c>
      <c r="E27" t="s">
        <v>99</v>
      </c>
    </row>
    <row r="28" spans="1:4" ht="25.5" customHeight="1">
      <c r="A28" s="11">
        <v>10</v>
      </c>
      <c r="B28" s="51" t="s">
        <v>2</v>
      </c>
      <c r="C28" s="8" t="s">
        <v>0</v>
      </c>
      <c r="D28" s="12">
        <f>1500+642.8+1350+1500+550+750</f>
        <v>6292.8</v>
      </c>
    </row>
    <row r="29" spans="1:4" ht="20.25">
      <c r="A29" s="40">
        <v>11</v>
      </c>
      <c r="B29" s="51" t="s">
        <v>3</v>
      </c>
      <c r="C29" s="8" t="s">
        <v>0</v>
      </c>
      <c r="D29" s="12">
        <f>200+2410+80+50+220+50+50+50+75+25</f>
        <v>3210</v>
      </c>
    </row>
    <row r="30" spans="1:4" ht="33" customHeight="1">
      <c r="A30" s="11">
        <v>12</v>
      </c>
      <c r="B30" s="51" t="s">
        <v>56</v>
      </c>
      <c r="C30" s="8" t="s">
        <v>0</v>
      </c>
      <c r="D30" s="67">
        <v>0</v>
      </c>
    </row>
    <row r="31" spans="1:5" ht="32.25" customHeight="1">
      <c r="A31" s="40">
        <v>13</v>
      </c>
      <c r="B31" s="51" t="s">
        <v>37</v>
      </c>
      <c r="C31" s="8" t="s">
        <v>0</v>
      </c>
      <c r="D31" s="12">
        <f>'[2]2015 su media triennio'!$U$49</f>
        <v>40000</v>
      </c>
      <c r="E31" t="s">
        <v>128</v>
      </c>
    </row>
    <row r="32" spans="1:5" ht="33.75" customHeight="1">
      <c r="A32" s="11">
        <v>14</v>
      </c>
      <c r="B32" s="51" t="s">
        <v>30</v>
      </c>
      <c r="C32" s="36" t="s">
        <v>0</v>
      </c>
      <c r="D32" s="12">
        <v>2000</v>
      </c>
      <c r="E32" t="s">
        <v>128</v>
      </c>
    </row>
    <row r="33" spans="1:4" ht="33" customHeight="1">
      <c r="A33" s="40">
        <v>15</v>
      </c>
      <c r="B33" s="51" t="s">
        <v>29</v>
      </c>
      <c r="C33" s="8" t="s">
        <v>0</v>
      </c>
      <c r="D33" s="12">
        <v>0</v>
      </c>
    </row>
    <row r="34" spans="1:4" ht="47.25" customHeight="1">
      <c r="A34" s="11">
        <v>16</v>
      </c>
      <c r="B34" s="51" t="s">
        <v>38</v>
      </c>
      <c r="C34" s="8" t="s">
        <v>0</v>
      </c>
      <c r="D34" s="12">
        <v>0</v>
      </c>
    </row>
    <row r="35" spans="1:4" ht="37.5" customHeight="1">
      <c r="A35" s="40">
        <v>17</v>
      </c>
      <c r="B35" s="52" t="s">
        <v>7</v>
      </c>
      <c r="C35" s="8" t="s">
        <v>0</v>
      </c>
      <c r="D35" s="12">
        <v>0</v>
      </c>
    </row>
    <row r="36" spans="1:5" ht="31.5" customHeight="1">
      <c r="A36" s="11">
        <v>18</v>
      </c>
      <c r="B36" s="53" t="s">
        <v>8</v>
      </c>
      <c r="C36" s="8" t="s">
        <v>0</v>
      </c>
      <c r="D36" s="12">
        <f>'[2]2015 su media triennio'!$U$51</f>
        <v>10000</v>
      </c>
      <c r="E36" t="s">
        <v>144</v>
      </c>
    </row>
    <row r="37" spans="1:4" ht="37.5" customHeight="1">
      <c r="A37" s="40">
        <v>19</v>
      </c>
      <c r="B37" s="53" t="s">
        <v>9</v>
      </c>
      <c r="C37" s="8" t="s">
        <v>0</v>
      </c>
      <c r="D37" s="12">
        <f>'[2]2015 su media triennio'!$N$6</f>
        <v>14240.537875000004</v>
      </c>
    </row>
    <row r="38" spans="1:5" ht="27.75" customHeight="1">
      <c r="A38" s="40">
        <v>20</v>
      </c>
      <c r="B38" s="76" t="s">
        <v>40</v>
      </c>
      <c r="C38" s="80" t="s">
        <v>0</v>
      </c>
      <c r="D38" s="63">
        <f>'[2]2015 su media triennio'!$R$6+'[2]2015 su media triennio'!$R$24</f>
        <v>10520.359277683334</v>
      </c>
      <c r="E38" t="s">
        <v>96</v>
      </c>
    </row>
    <row r="39" spans="1:5" ht="36" customHeight="1">
      <c r="A39" s="40">
        <v>21</v>
      </c>
      <c r="B39" s="75" t="s">
        <v>39</v>
      </c>
      <c r="C39" s="81" t="s">
        <v>0</v>
      </c>
      <c r="D39" s="66">
        <f>'[2]2015 su media triennio'!$T$6+'[2]2015 su media triennio'!$T$53</f>
        <v>4210.445719375</v>
      </c>
      <c r="E39" t="s">
        <v>129</v>
      </c>
    </row>
    <row r="40" spans="1:4" ht="40.5" customHeight="1">
      <c r="A40" s="45">
        <v>22</v>
      </c>
      <c r="B40" s="54" t="s">
        <v>33</v>
      </c>
      <c r="C40" s="4" t="s">
        <v>0</v>
      </c>
      <c r="D40" s="13">
        <v>0</v>
      </c>
    </row>
    <row r="41" spans="1:4" ht="60" customHeight="1">
      <c r="A41" s="46">
        <v>23</v>
      </c>
      <c r="B41" s="49" t="s">
        <v>45</v>
      </c>
      <c r="C41" s="47" t="s">
        <v>0</v>
      </c>
      <c r="D41" s="48">
        <v>0</v>
      </c>
    </row>
    <row r="42" spans="1:4" ht="15.75">
      <c r="A42" s="107" t="s">
        <v>24</v>
      </c>
      <c r="B42" s="107"/>
      <c r="C42" s="107"/>
      <c r="D42" s="78">
        <f>SUM(D25:D41)</f>
        <v>112763.27453872502</v>
      </c>
    </row>
    <row r="43" spans="1:4" ht="15.75">
      <c r="A43" s="107" t="s">
        <v>25</v>
      </c>
      <c r="B43" s="107"/>
      <c r="C43" s="107"/>
      <c r="D43" s="78">
        <f>D23-D42</f>
        <v>914914.4147308604</v>
      </c>
    </row>
    <row r="44" spans="1:8" ht="15.75">
      <c r="A44" s="29"/>
      <c r="B44" s="29"/>
      <c r="C44" s="29"/>
      <c r="D44" s="30"/>
      <c r="G44" s="79">
        <f>+D43-D45</f>
        <v>-4576.287334139575</v>
      </c>
      <c r="H44" s="79"/>
    </row>
    <row r="45" spans="1:4" ht="15.75">
      <c r="A45" s="29"/>
      <c r="B45" s="117" t="s">
        <v>44</v>
      </c>
      <c r="C45" s="117"/>
      <c r="D45" s="44">
        <f>('2011'!D42+'2012'!D42+'2013'!D42)/3</f>
        <v>919490.702065</v>
      </c>
    </row>
    <row r="46" spans="1:4" ht="12.75">
      <c r="A46" s="5"/>
      <c r="B46" s="115"/>
      <c r="C46" s="115"/>
      <c r="D46" s="5"/>
    </row>
    <row r="47" spans="1:4" ht="15">
      <c r="A47" s="5"/>
      <c r="B47" s="116" t="s">
        <v>47</v>
      </c>
      <c r="C47" s="116"/>
      <c r="D47" s="6" t="str">
        <f>IF(D43&lt;D45,"SI","NO")</f>
        <v>SI</v>
      </c>
    </row>
    <row r="48" spans="1:4" ht="12.75">
      <c r="A48" s="5"/>
      <c r="B48" s="115"/>
      <c r="C48" s="115"/>
      <c r="D48" s="5"/>
    </row>
    <row r="49" spans="1:4" ht="15">
      <c r="A49" s="5"/>
      <c r="B49" s="116" t="s">
        <v>93</v>
      </c>
      <c r="C49" s="116"/>
      <c r="D49" s="74">
        <f>IF(D43&lt;D45,D45-D43-1,0)</f>
        <v>4575.287334139575</v>
      </c>
    </row>
    <row r="50" spans="1:4" ht="15">
      <c r="A50" s="3"/>
      <c r="B50" s="118" t="s">
        <v>93</v>
      </c>
      <c r="C50" s="118"/>
      <c r="D50" s="98">
        <f>+D49</f>
        <v>4575.287334139575</v>
      </c>
    </row>
    <row r="51" spans="1:4" ht="12.75">
      <c r="A51" s="3"/>
      <c r="B51" s="1"/>
      <c r="C51" s="3"/>
      <c r="D51" s="3"/>
    </row>
    <row r="52" spans="1:4" ht="12.75">
      <c r="A52" s="3"/>
      <c r="B52" s="1"/>
      <c r="C52" s="3"/>
      <c r="D52" s="3"/>
    </row>
    <row r="53" spans="1:4" ht="12.75">
      <c r="A53" s="1" t="s">
        <v>115</v>
      </c>
      <c r="B53" s="1"/>
      <c r="C53" s="3"/>
      <c r="D53" s="3"/>
    </row>
    <row r="54" spans="1:4" ht="12.75">
      <c r="A54" s="82" t="s">
        <v>100</v>
      </c>
      <c r="B54" s="1"/>
      <c r="C54" s="3"/>
      <c r="D54" s="3"/>
    </row>
    <row r="55" spans="1:4" ht="12.75">
      <c r="A55" s="1" t="s">
        <v>101</v>
      </c>
      <c r="B55" s="1"/>
      <c r="C55" s="3"/>
      <c r="D55" s="3"/>
    </row>
    <row r="56" spans="1:4" ht="12.75">
      <c r="A56" s="1" t="s">
        <v>102</v>
      </c>
      <c r="B56" s="1"/>
      <c r="C56" s="3"/>
      <c r="D56" s="3"/>
    </row>
    <row r="57" spans="1:4" ht="12.75">
      <c r="A57" s="1" t="s">
        <v>162</v>
      </c>
      <c r="B57" s="1"/>
      <c r="C57" s="3"/>
      <c r="D57" s="3"/>
    </row>
    <row r="58" spans="1:4" ht="12.75">
      <c r="A58" s="1" t="s">
        <v>117</v>
      </c>
      <c r="B58" s="1"/>
      <c r="C58" s="3"/>
      <c r="D58" s="3"/>
    </row>
    <row r="59" spans="1:4" ht="12.75">
      <c r="A59" s="1"/>
      <c r="B59" s="1"/>
      <c r="C59" s="3"/>
      <c r="D59" s="3"/>
    </row>
    <row r="60" spans="1:4" ht="12.75">
      <c r="A60" s="83" t="s">
        <v>104</v>
      </c>
      <c r="B60" s="84"/>
      <c r="C60" s="3"/>
      <c r="D60" s="3"/>
    </row>
    <row r="61" spans="1:4" ht="12.75">
      <c r="A61" s="84" t="s">
        <v>105</v>
      </c>
      <c r="B61" s="84"/>
      <c r="C61" s="3"/>
      <c r="D61" s="3"/>
    </row>
    <row r="62" spans="1:4" ht="12.75">
      <c r="A62" s="84" t="s">
        <v>106</v>
      </c>
      <c r="B62" s="84"/>
      <c r="C62" s="3"/>
      <c r="D62" s="3"/>
    </row>
    <row r="63" spans="1:4" ht="12.75">
      <c r="A63" s="84" t="s">
        <v>163</v>
      </c>
      <c r="B63" s="84"/>
      <c r="C63" s="3"/>
      <c r="D63" s="3"/>
    </row>
    <row r="64" spans="1:4" ht="12.75">
      <c r="A64" s="87"/>
      <c r="B64" s="84"/>
      <c r="C64" s="3"/>
      <c r="D64" s="3"/>
    </row>
    <row r="65" spans="1:4" ht="12.75">
      <c r="A65" s="1"/>
      <c r="B65" s="1"/>
      <c r="C65" s="3"/>
      <c r="D65" s="3"/>
    </row>
    <row r="66" spans="1:4" ht="12.75">
      <c r="A66" s="82" t="s">
        <v>109</v>
      </c>
      <c r="B66" s="1"/>
      <c r="C66" s="3"/>
      <c r="D66" s="3"/>
    </row>
    <row r="67" spans="1:4" ht="12.75">
      <c r="A67" s="1" t="s">
        <v>110</v>
      </c>
      <c r="B67" s="1"/>
      <c r="C67" s="3"/>
      <c r="D67" s="3"/>
    </row>
    <row r="68" spans="1:4" ht="12.75">
      <c r="A68" s="1" t="s">
        <v>111</v>
      </c>
      <c r="B68" s="1"/>
      <c r="C68" s="3"/>
      <c r="D68" s="3"/>
    </row>
    <row r="69" spans="1:4" ht="12.75">
      <c r="A69" s="1" t="s">
        <v>164</v>
      </c>
      <c r="B69" s="1"/>
      <c r="C69" s="3"/>
      <c r="D69" s="3"/>
    </row>
    <row r="70" spans="1:4" ht="12.75">
      <c r="A70" s="1" t="s">
        <v>116</v>
      </c>
      <c r="B70" s="1"/>
      <c r="C70" s="3"/>
      <c r="D70" s="3"/>
    </row>
    <row r="71" spans="1:4" ht="12.75">
      <c r="A71" s="1"/>
      <c r="B71" s="1"/>
      <c r="C71" s="3"/>
      <c r="D71" s="3"/>
    </row>
    <row r="72" spans="1:4" ht="21" customHeight="1">
      <c r="A72" s="1"/>
      <c r="B72" s="1"/>
      <c r="C72" s="3"/>
      <c r="D72" s="3"/>
    </row>
    <row r="73" spans="1:4" ht="12.75">
      <c r="A73" s="88" t="s">
        <v>158</v>
      </c>
      <c r="B73" s="83"/>
      <c r="C73" s="3"/>
      <c r="D73" s="3"/>
    </row>
    <row r="74" spans="1:4" ht="12.75">
      <c r="A74" s="85" t="s">
        <v>119</v>
      </c>
      <c r="B74" s="85"/>
      <c r="C74" s="3"/>
      <c r="D74" s="3"/>
    </row>
    <row r="75" spans="1:4" ht="12.75">
      <c r="A75" s="85" t="s">
        <v>120</v>
      </c>
      <c r="B75" s="85"/>
      <c r="C75" s="3"/>
      <c r="D75" s="3"/>
    </row>
    <row r="76" spans="1:4" ht="12.75">
      <c r="A76" s="86" t="s">
        <v>165</v>
      </c>
      <c r="B76" s="85"/>
      <c r="C76" s="3"/>
      <c r="D76" s="3"/>
    </row>
    <row r="77" spans="1:4" ht="12.75">
      <c r="A77" s="89" t="s">
        <v>123</v>
      </c>
      <c r="B77" s="90">
        <v>1000</v>
      </c>
      <c r="C77" s="3"/>
      <c r="D77" s="3"/>
    </row>
    <row r="78" spans="1:4" ht="12.75">
      <c r="A78" s="3"/>
      <c r="B78" s="1"/>
      <c r="C78" s="3"/>
      <c r="D78" s="3"/>
    </row>
    <row r="79" spans="1:4" ht="12.75">
      <c r="A79" s="3"/>
      <c r="B79" s="1"/>
      <c r="C79" s="3"/>
      <c r="D79" s="3"/>
    </row>
    <row r="80" spans="1:4" ht="12.75">
      <c r="A80" s="3"/>
      <c r="B80" s="1"/>
      <c r="C80" s="3"/>
      <c r="D80" s="3"/>
    </row>
    <row r="81" spans="1:4" ht="12.75">
      <c r="A81" s="3"/>
      <c r="B81" s="1"/>
      <c r="C81" s="3"/>
      <c r="D81" s="3"/>
    </row>
    <row r="82" spans="1:4" ht="12.75">
      <c r="A82" s="3"/>
      <c r="B82" s="1"/>
      <c r="C82" s="3"/>
      <c r="D82" s="3"/>
    </row>
    <row r="83" spans="1:4" ht="12.75">
      <c r="A83" s="3"/>
      <c r="B83" s="1"/>
      <c r="C83" s="3"/>
      <c r="D83" s="3"/>
    </row>
    <row r="84" spans="1:4" ht="12.75">
      <c r="A84" s="3"/>
      <c r="B84" s="1"/>
      <c r="C84" s="3"/>
      <c r="D84" s="3"/>
    </row>
    <row r="85" spans="1:4" ht="12.75">
      <c r="A85" s="3"/>
      <c r="B85" s="1"/>
      <c r="C85" s="3"/>
      <c r="D85" s="3"/>
    </row>
    <row r="86" spans="1:4" ht="12.75">
      <c r="A86" s="3"/>
      <c r="B86" s="1"/>
      <c r="C86" s="3"/>
      <c r="D86" s="3"/>
    </row>
    <row r="87" spans="1:4" ht="12.75">
      <c r="A87" s="3"/>
      <c r="B87" s="1"/>
      <c r="C87" s="3"/>
      <c r="D87" s="3"/>
    </row>
    <row r="88" spans="1:4" ht="12.75">
      <c r="A88" s="3"/>
      <c r="B88" s="1"/>
      <c r="C88" s="3"/>
      <c r="D88" s="3"/>
    </row>
    <row r="89" spans="1:4" ht="12.75">
      <c r="A89" s="3"/>
      <c r="B89" s="1"/>
      <c r="C89" s="3"/>
      <c r="D89" s="3"/>
    </row>
    <row r="90" spans="1:4" ht="12.75">
      <c r="A90" s="3"/>
      <c r="B90" s="1"/>
      <c r="C90" s="3"/>
      <c r="D90" s="3"/>
    </row>
    <row r="91" spans="1:4" ht="12.75">
      <c r="A91" s="3"/>
      <c r="B91" s="1"/>
      <c r="C91" s="3"/>
      <c r="D91" s="3"/>
    </row>
    <row r="92" spans="1:4" ht="12.75">
      <c r="A92" s="3"/>
      <c r="B92" s="1"/>
      <c r="C92" s="3"/>
      <c r="D92" s="3"/>
    </row>
    <row r="93" spans="1:4" ht="12.75">
      <c r="A93" s="3"/>
      <c r="B93" s="1"/>
      <c r="C93" s="3"/>
      <c r="D93" s="3"/>
    </row>
    <row r="94" spans="1:4" ht="12.75">
      <c r="A94" s="3"/>
      <c r="B94" s="1"/>
      <c r="C94" s="3"/>
      <c r="D94" s="3"/>
    </row>
    <row r="95" spans="1:4" ht="12.75">
      <c r="A95" s="3"/>
      <c r="B95" s="1"/>
      <c r="C95" s="3"/>
      <c r="D95" s="3"/>
    </row>
    <row r="96" spans="1:4" ht="12.75">
      <c r="A96" s="3"/>
      <c r="B96" s="1"/>
      <c r="C96" s="3"/>
      <c r="D96" s="3"/>
    </row>
    <row r="97" spans="1:4" ht="12.75">
      <c r="A97" s="3"/>
      <c r="B97" s="1"/>
      <c r="C97" s="3"/>
      <c r="D97" s="3"/>
    </row>
    <row r="98" spans="1:4" ht="12.75">
      <c r="A98" s="3"/>
      <c r="B98" s="1"/>
      <c r="C98" s="3"/>
      <c r="D98" s="3"/>
    </row>
    <row r="99" spans="1:4" ht="12.75">
      <c r="A99" s="3"/>
      <c r="B99" s="1"/>
      <c r="C99" s="3"/>
      <c r="D99" s="3"/>
    </row>
    <row r="100" spans="1:4" ht="12.75">
      <c r="A100" s="3"/>
      <c r="B100" s="1"/>
      <c r="C100" s="3"/>
      <c r="D100" s="3"/>
    </row>
    <row r="101" spans="1:4" ht="12.75">
      <c r="A101" s="3"/>
      <c r="B101" s="1"/>
      <c r="C101" s="3"/>
      <c r="D101" s="3"/>
    </row>
    <row r="102" spans="1:4" ht="12.75">
      <c r="A102" s="3"/>
      <c r="B102" s="1"/>
      <c r="C102" s="3"/>
      <c r="D102" s="3"/>
    </row>
    <row r="103" spans="1:4" ht="12.75">
      <c r="A103" s="3"/>
      <c r="B103" s="1"/>
      <c r="C103" s="3"/>
      <c r="D103" s="3"/>
    </row>
    <row r="104" spans="1:4" ht="12.75">
      <c r="A104" s="3"/>
      <c r="B104" s="1"/>
      <c r="C104" s="3"/>
      <c r="D104" s="3"/>
    </row>
    <row r="105" spans="1:4" ht="12.75">
      <c r="A105" s="3"/>
      <c r="B105" s="1"/>
      <c r="C105" s="3"/>
      <c r="D105" s="3"/>
    </row>
    <row r="106" spans="1:4" ht="12.75">
      <c r="A106" s="3"/>
      <c r="B106" s="1"/>
      <c r="C106" s="3"/>
      <c r="D106" s="3"/>
    </row>
    <row r="107" spans="1:4" ht="12.75">
      <c r="A107" s="3"/>
      <c r="B107" s="1"/>
      <c r="C107" s="3"/>
      <c r="D107" s="3"/>
    </row>
    <row r="108" spans="1:4" ht="12.75">
      <c r="A108" s="3"/>
      <c r="B108" s="1"/>
      <c r="C108" s="3"/>
      <c r="D108" s="3"/>
    </row>
    <row r="109" spans="1:4" ht="12.75">
      <c r="A109" s="3"/>
      <c r="B109" s="1"/>
      <c r="C109" s="3"/>
      <c r="D109" s="3"/>
    </row>
    <row r="110" spans="1:4" ht="12.75">
      <c r="A110" s="3"/>
      <c r="B110" s="1"/>
      <c r="C110" s="3"/>
      <c r="D110" s="3"/>
    </row>
    <row r="111" spans="1:4" ht="12.75">
      <c r="A111" s="3"/>
      <c r="B111" s="1"/>
      <c r="C111" s="3"/>
      <c r="D111" s="3"/>
    </row>
    <row r="112" spans="1:4" ht="12.75">
      <c r="A112" s="3"/>
      <c r="B112" s="1"/>
      <c r="C112" s="3"/>
      <c r="D112" s="3"/>
    </row>
    <row r="113" spans="1:4" ht="12.75">
      <c r="A113" s="3"/>
      <c r="B113" s="1"/>
      <c r="C113" s="3"/>
      <c r="D113" s="3"/>
    </row>
    <row r="114" spans="1:4" ht="12.75">
      <c r="A114" s="3"/>
      <c r="B114" s="1"/>
      <c r="C114" s="3"/>
      <c r="D114" s="3"/>
    </row>
    <row r="115" spans="1:4" ht="12.75">
      <c r="A115" s="3"/>
      <c r="B115" s="1"/>
      <c r="C115" s="3"/>
      <c r="D115" s="3"/>
    </row>
    <row r="116" spans="1:4" ht="12.75">
      <c r="A116" s="3"/>
      <c r="B116" s="1"/>
      <c r="C116" s="3"/>
      <c r="D116" s="3"/>
    </row>
    <row r="117" spans="1:4" ht="12.75">
      <c r="A117" s="3"/>
      <c r="B117" s="1"/>
      <c r="C117" s="3"/>
      <c r="D117" s="3"/>
    </row>
    <row r="118" spans="1:4" ht="12.75">
      <c r="A118" s="3"/>
      <c r="B118" s="1"/>
      <c r="C118" s="3"/>
      <c r="D118" s="3"/>
    </row>
    <row r="119" spans="1:4" ht="12.75">
      <c r="A119" s="3"/>
      <c r="B119" s="1"/>
      <c r="C119" s="3"/>
      <c r="D119" s="3"/>
    </row>
    <row r="120" spans="1:4" ht="12.75">
      <c r="A120" s="3"/>
      <c r="B120" s="1"/>
      <c r="C120" s="3"/>
      <c r="D120" s="3"/>
    </row>
    <row r="121" spans="1:4" ht="12.75">
      <c r="A121" s="3"/>
      <c r="B121" s="1"/>
      <c r="C121" s="3"/>
      <c r="D121" s="3"/>
    </row>
    <row r="122" spans="1:4" ht="12.75">
      <c r="A122" s="3"/>
      <c r="B122" s="1"/>
      <c r="C122" s="3"/>
      <c r="D122" s="3"/>
    </row>
    <row r="123" spans="1:4" ht="12.75">
      <c r="A123" s="3"/>
      <c r="B123" s="1"/>
      <c r="C123" s="3"/>
      <c r="D123" s="3"/>
    </row>
    <row r="124" spans="1:4" ht="12.75">
      <c r="A124" s="3"/>
      <c r="B124" s="1"/>
      <c r="C124" s="3"/>
      <c r="D124" s="3"/>
    </row>
    <row r="125" spans="1:4" ht="12.75">
      <c r="A125" s="3"/>
      <c r="B125" s="1"/>
      <c r="C125" s="3"/>
      <c r="D125" s="3"/>
    </row>
    <row r="126" spans="1:4" ht="12.75">
      <c r="A126" s="3"/>
      <c r="B126" s="1"/>
      <c r="C126" s="3"/>
      <c r="D126" s="3"/>
    </row>
    <row r="127" spans="1:4" ht="12.75">
      <c r="A127" s="3"/>
      <c r="B127" s="1"/>
      <c r="C127" s="3"/>
      <c r="D127" s="3"/>
    </row>
    <row r="128" spans="1:4" ht="12.75">
      <c r="A128" s="3"/>
      <c r="B128" s="1"/>
      <c r="C128" s="3"/>
      <c r="D128" s="3"/>
    </row>
    <row r="129" spans="1:4" ht="12.75">
      <c r="A129" s="3"/>
      <c r="B129" s="1"/>
      <c r="C129" s="3"/>
      <c r="D129" s="3"/>
    </row>
    <row r="130" spans="1:4" ht="12.75">
      <c r="A130" s="3"/>
      <c r="B130" s="1"/>
      <c r="C130" s="3"/>
      <c r="D130" s="3"/>
    </row>
    <row r="131" spans="1:4" ht="12.75">
      <c r="A131" s="3"/>
      <c r="B131" s="1"/>
      <c r="C131" s="3"/>
      <c r="D131" s="3"/>
    </row>
    <row r="132" spans="1:4" ht="12.75">
      <c r="A132" s="3"/>
      <c r="B132" s="1"/>
      <c r="C132" s="3"/>
      <c r="D132" s="3"/>
    </row>
    <row r="133" spans="1:4" ht="12.75">
      <c r="A133" s="3"/>
      <c r="B133" s="1"/>
      <c r="C133" s="3"/>
      <c r="D133" s="3"/>
    </row>
    <row r="134" spans="1:4" ht="12.75">
      <c r="A134" s="3"/>
      <c r="B134" s="1"/>
      <c r="C134" s="3"/>
      <c r="D134" s="3"/>
    </row>
    <row r="135" spans="1:4" ht="12.75">
      <c r="A135" s="3"/>
      <c r="B135" s="1"/>
      <c r="C135" s="3"/>
      <c r="D135" s="3"/>
    </row>
    <row r="136" spans="1:4" ht="12.75">
      <c r="A136" s="3"/>
      <c r="B136" s="1"/>
      <c r="C136" s="3"/>
      <c r="D136" s="3"/>
    </row>
    <row r="137" spans="1:4" ht="12.75">
      <c r="A137" s="3"/>
      <c r="B137" s="1"/>
      <c r="C137" s="3"/>
      <c r="D137" s="3"/>
    </row>
    <row r="138" spans="1:4" ht="12.75">
      <c r="A138" s="3"/>
      <c r="B138" s="1"/>
      <c r="C138" s="3"/>
      <c r="D138" s="3"/>
    </row>
    <row r="139" spans="1:4" ht="12.75">
      <c r="A139" s="3"/>
      <c r="B139" s="1"/>
      <c r="C139" s="3"/>
      <c r="D139" s="3"/>
    </row>
    <row r="140" spans="1:4" ht="12.75">
      <c r="A140" s="3"/>
      <c r="B140" s="1"/>
      <c r="C140" s="3"/>
      <c r="D140" s="3"/>
    </row>
    <row r="141" spans="1:4" ht="12.75">
      <c r="A141" s="3"/>
      <c r="B141" s="1"/>
      <c r="C141" s="3"/>
      <c r="D141" s="3"/>
    </row>
    <row r="142" spans="1:4" ht="12.75">
      <c r="A142" s="3"/>
      <c r="B142" s="1"/>
      <c r="C142" s="3"/>
      <c r="D142" s="3"/>
    </row>
    <row r="143" spans="1:4" ht="12.75">
      <c r="A143" s="3"/>
      <c r="B143" s="1"/>
      <c r="C143" s="3"/>
      <c r="D143" s="3"/>
    </row>
    <row r="144" spans="1:4" ht="12.75">
      <c r="A144" s="3"/>
      <c r="B144" s="1"/>
      <c r="C144" s="3"/>
      <c r="D144" s="3"/>
    </row>
    <row r="145" spans="1:4" ht="12.75">
      <c r="A145" s="3"/>
      <c r="B145" s="1"/>
      <c r="C145" s="3"/>
      <c r="D145" s="3"/>
    </row>
    <row r="146" spans="1:4" ht="12.75">
      <c r="A146" s="3"/>
      <c r="B146" s="1"/>
      <c r="C146" s="3"/>
      <c r="D146" s="3"/>
    </row>
    <row r="147" spans="1:4" ht="12.75">
      <c r="A147" s="3"/>
      <c r="B147" s="1"/>
      <c r="C147" s="3"/>
      <c r="D147" s="3"/>
    </row>
    <row r="148" spans="1:4" ht="12.75">
      <c r="A148" s="3"/>
      <c r="B148" s="1"/>
      <c r="C148" s="3"/>
      <c r="D148" s="3"/>
    </row>
    <row r="149" spans="1:4" ht="12.75">
      <c r="A149" s="3"/>
      <c r="B149" s="1"/>
      <c r="C149" s="3"/>
      <c r="D149" s="3"/>
    </row>
    <row r="150" spans="1:4" ht="12.75">
      <c r="A150" s="3"/>
      <c r="B150" s="1"/>
      <c r="C150" s="3"/>
      <c r="D150" s="3"/>
    </row>
    <row r="151" spans="1:4" ht="12.75">
      <c r="A151" s="3"/>
      <c r="B151" s="1"/>
      <c r="C151" s="3"/>
      <c r="D151" s="3"/>
    </row>
    <row r="152" spans="1:4" ht="12.75">
      <c r="A152" s="3"/>
      <c r="B152" s="1"/>
      <c r="C152" s="3"/>
      <c r="D152" s="3"/>
    </row>
    <row r="153" spans="1:4" ht="12.75">
      <c r="A153" s="3"/>
      <c r="B153" s="1"/>
      <c r="C153" s="3"/>
      <c r="D153" s="3"/>
    </row>
    <row r="154" spans="1:4" ht="12.75">
      <c r="A154" s="3"/>
      <c r="B154" s="1"/>
      <c r="C154" s="3"/>
      <c r="D154" s="3"/>
    </row>
    <row r="155" spans="1:4" ht="12.75">
      <c r="A155" s="3"/>
      <c r="B155" s="1"/>
      <c r="C155" s="3"/>
      <c r="D155" s="3"/>
    </row>
    <row r="156" spans="1:4" ht="12.75">
      <c r="A156" s="3"/>
      <c r="B156" s="1"/>
      <c r="C156" s="3"/>
      <c r="D156" s="3"/>
    </row>
    <row r="157" spans="1:4" ht="12.75">
      <c r="A157" s="3"/>
      <c r="B157" s="1"/>
      <c r="C157" s="3"/>
      <c r="D157" s="3"/>
    </row>
    <row r="158" spans="1:4" ht="12.75">
      <c r="A158" s="3"/>
      <c r="B158" s="1"/>
      <c r="C158" s="3"/>
      <c r="D158" s="3"/>
    </row>
    <row r="159" spans="1:4" ht="12.75">
      <c r="A159" s="3"/>
      <c r="B159" s="1"/>
      <c r="C159" s="3"/>
      <c r="D159" s="3"/>
    </row>
    <row r="160" spans="1:4" ht="12.75">
      <c r="A160" s="3"/>
      <c r="B160" s="1"/>
      <c r="C160" s="3"/>
      <c r="D160" s="3"/>
    </row>
    <row r="161" spans="1:4" ht="12.75">
      <c r="A161" s="3"/>
      <c r="B161" s="1"/>
      <c r="C161" s="3"/>
      <c r="D161" s="3"/>
    </row>
    <row r="162" spans="1:4" ht="12.75">
      <c r="A162" s="3"/>
      <c r="B162" s="1"/>
      <c r="C162" s="3"/>
      <c r="D162" s="3"/>
    </row>
    <row r="163" spans="1:4" ht="12.75">
      <c r="A163" s="3"/>
      <c r="B163" s="1"/>
      <c r="C163" s="3"/>
      <c r="D163" s="3"/>
    </row>
    <row r="164" spans="1:4" ht="12.75">
      <c r="A164" s="3"/>
      <c r="B164" s="1"/>
      <c r="C164" s="3"/>
      <c r="D164" s="3"/>
    </row>
    <row r="165" spans="1:4" ht="12.75">
      <c r="A165" s="3"/>
      <c r="B165" s="1"/>
      <c r="C165" s="3"/>
      <c r="D165" s="3"/>
    </row>
    <row r="166" spans="1:4" ht="12.75">
      <c r="A166" s="3"/>
      <c r="B166" s="1"/>
      <c r="C166" s="3"/>
      <c r="D166" s="3"/>
    </row>
    <row r="167" spans="1:4" ht="12.75">
      <c r="A167" s="3"/>
      <c r="B167" s="1"/>
      <c r="C167" s="3"/>
      <c r="D167" s="3"/>
    </row>
    <row r="168" spans="1:4" ht="12.75">
      <c r="A168" s="3"/>
      <c r="B168" s="1"/>
      <c r="C168" s="3"/>
      <c r="D168" s="3"/>
    </row>
    <row r="169" spans="1:4" ht="12.75">
      <c r="A169" s="3"/>
      <c r="B169" s="1"/>
      <c r="C169" s="3"/>
      <c r="D169" s="3"/>
    </row>
    <row r="170" spans="1:4" ht="12.75">
      <c r="A170" s="3"/>
      <c r="B170" s="1"/>
      <c r="C170" s="3"/>
      <c r="D170" s="3"/>
    </row>
    <row r="171" spans="1:4" ht="12.75">
      <c r="A171" s="3"/>
      <c r="B171" s="1"/>
      <c r="C171" s="3"/>
      <c r="D171" s="3"/>
    </row>
    <row r="172" spans="1:4" ht="12.75">
      <c r="A172" s="3"/>
      <c r="B172" s="1"/>
      <c r="C172" s="3"/>
      <c r="D172" s="3"/>
    </row>
    <row r="173" spans="1:4" ht="12.75">
      <c r="A173" s="3"/>
      <c r="B173" s="1"/>
      <c r="C173" s="3"/>
      <c r="D173" s="3"/>
    </row>
    <row r="174" spans="1:4" ht="12.75">
      <c r="A174" s="3"/>
      <c r="B174" s="1"/>
      <c r="C174" s="3"/>
      <c r="D174" s="3"/>
    </row>
    <row r="175" spans="1:4" ht="12.75">
      <c r="A175" s="3"/>
      <c r="B175" s="1"/>
      <c r="C175" s="3"/>
      <c r="D175" s="3"/>
    </row>
    <row r="176" spans="1:4" ht="12.75">
      <c r="A176" s="3"/>
      <c r="B176" s="1"/>
      <c r="C176" s="3"/>
      <c r="D176" s="3"/>
    </row>
    <row r="177" spans="1:4" ht="12.75">
      <c r="A177" s="3"/>
      <c r="B177" s="1"/>
      <c r="C177" s="3"/>
      <c r="D177" s="3"/>
    </row>
    <row r="178" spans="1:4" ht="12.75">
      <c r="A178" s="3"/>
      <c r="B178" s="1"/>
      <c r="C178" s="3"/>
      <c r="D178" s="3"/>
    </row>
    <row r="179" spans="1:4" ht="12.75">
      <c r="A179" s="3"/>
      <c r="B179" s="1"/>
      <c r="C179" s="3"/>
      <c r="D179" s="3"/>
    </row>
    <row r="180" spans="1:4" ht="12.75">
      <c r="A180" s="3"/>
      <c r="B180" s="1"/>
      <c r="C180" s="3"/>
      <c r="D180" s="3"/>
    </row>
    <row r="181" spans="1:4" ht="12.75">
      <c r="A181" s="3"/>
      <c r="B181" s="1"/>
      <c r="C181" s="3"/>
      <c r="D181" s="3"/>
    </row>
    <row r="182" spans="1:4" ht="12.75">
      <c r="A182" s="3"/>
      <c r="B182" s="1"/>
      <c r="C182" s="3"/>
      <c r="D182" s="3"/>
    </row>
    <row r="183" spans="1:4" ht="12.75">
      <c r="A183" s="3"/>
      <c r="B183" s="1"/>
      <c r="C183" s="3"/>
      <c r="D183" s="3"/>
    </row>
    <row r="184" spans="1:4" ht="12.75">
      <c r="A184" s="3"/>
      <c r="B184" s="1"/>
      <c r="C184" s="3"/>
      <c r="D184" s="3"/>
    </row>
    <row r="185" spans="1:4" ht="12.75">
      <c r="A185" s="3"/>
      <c r="B185" s="1"/>
      <c r="C185" s="3"/>
      <c r="D185" s="3"/>
    </row>
    <row r="186" spans="1:4" ht="12.75">
      <c r="A186" s="3"/>
      <c r="B186" s="1"/>
      <c r="C186" s="3"/>
      <c r="D186" s="3"/>
    </row>
    <row r="187" spans="1:4" ht="12.75">
      <c r="A187" s="3"/>
      <c r="B187" s="1"/>
      <c r="C187" s="3"/>
      <c r="D187" s="3"/>
    </row>
    <row r="188" spans="1:4" ht="12.75">
      <c r="A188" s="3"/>
      <c r="B188" s="1"/>
      <c r="C188" s="3"/>
      <c r="D188" s="3"/>
    </row>
    <row r="189" spans="1:4" ht="12.75">
      <c r="A189" s="3"/>
      <c r="B189" s="1"/>
      <c r="C189" s="3"/>
      <c r="D189" s="3"/>
    </row>
    <row r="190" spans="1:4" ht="12.75">
      <c r="A190" s="3"/>
      <c r="B190" s="1"/>
      <c r="C190" s="3"/>
      <c r="D190" s="3"/>
    </row>
    <row r="191" spans="1:4" ht="12.75">
      <c r="A191" s="3"/>
      <c r="B191" s="1"/>
      <c r="C191" s="3"/>
      <c r="D191" s="3"/>
    </row>
    <row r="192" spans="1:4" ht="12.75">
      <c r="A192" s="3"/>
      <c r="B192" s="1"/>
      <c r="C192" s="3"/>
      <c r="D192" s="3"/>
    </row>
    <row r="193" spans="1:4" ht="12.75">
      <c r="A193" s="3"/>
      <c r="B193" s="1"/>
      <c r="C193" s="3"/>
      <c r="D193" s="3"/>
    </row>
    <row r="194" spans="1:4" ht="12.75">
      <c r="A194" s="3"/>
      <c r="B194" s="1"/>
      <c r="C194" s="3"/>
      <c r="D194" s="3"/>
    </row>
    <row r="195" spans="1:4" ht="12.75">
      <c r="A195" s="3"/>
      <c r="B195" s="1"/>
      <c r="C195" s="3"/>
      <c r="D195" s="3"/>
    </row>
    <row r="196" spans="1:4" ht="12.75">
      <c r="A196" s="3"/>
      <c r="B196" s="1"/>
      <c r="C196" s="3"/>
      <c r="D196" s="3"/>
    </row>
    <row r="197" spans="1:4" ht="12.75">
      <c r="A197" s="3"/>
      <c r="B197" s="1"/>
      <c r="C197" s="3"/>
      <c r="D197" s="3"/>
    </row>
    <row r="198" spans="1:4" ht="12.75">
      <c r="A198" s="3"/>
      <c r="B198" s="1"/>
      <c r="C198" s="3"/>
      <c r="D198" s="3"/>
    </row>
    <row r="199" spans="1:4" ht="12.75">
      <c r="A199" s="3"/>
      <c r="B199" s="1"/>
      <c r="C199" s="3"/>
      <c r="D199" s="3"/>
    </row>
    <row r="200" spans="1:4" ht="12.75">
      <c r="A200" s="3"/>
      <c r="B200" s="1"/>
      <c r="C200" s="3"/>
      <c r="D200" s="3"/>
    </row>
    <row r="201" spans="1:4" ht="12.75">
      <c r="A201" s="3"/>
      <c r="B201" s="1"/>
      <c r="C201" s="3"/>
      <c r="D201" s="3"/>
    </row>
    <row r="202" spans="1:4" ht="12.75">
      <c r="A202" s="3"/>
      <c r="B202" s="1"/>
      <c r="C202" s="3"/>
      <c r="D202" s="3"/>
    </row>
    <row r="203" spans="1:4" ht="12.75">
      <c r="A203" s="3"/>
      <c r="B203" s="1"/>
      <c r="C203" s="3"/>
      <c r="D203" s="3"/>
    </row>
    <row r="204" spans="1:4" ht="12.75">
      <c r="A204" s="3"/>
      <c r="B204" s="1"/>
      <c r="C204" s="3"/>
      <c r="D204" s="3"/>
    </row>
    <row r="205" spans="1:4" ht="12.75">
      <c r="A205" s="3"/>
      <c r="B205" s="1"/>
      <c r="C205" s="3"/>
      <c r="D205" s="3"/>
    </row>
    <row r="206" spans="1:4" ht="12.75">
      <c r="A206" s="3"/>
      <c r="B206" s="1"/>
      <c r="C206" s="3"/>
      <c r="D206" s="3"/>
    </row>
    <row r="207" spans="1:4" ht="12.75">
      <c r="A207" s="3"/>
      <c r="B207" s="1"/>
      <c r="C207" s="3"/>
      <c r="D207" s="3"/>
    </row>
    <row r="208" spans="1:4" ht="12.75">
      <c r="A208" s="3"/>
      <c r="B208" s="1"/>
      <c r="C208" s="3"/>
      <c r="D208" s="3"/>
    </row>
    <row r="209" spans="1:4" ht="12.75">
      <c r="A209" s="3"/>
      <c r="B209" s="1"/>
      <c r="C209" s="3"/>
      <c r="D209" s="3"/>
    </row>
    <row r="210" spans="1:4" ht="12.75">
      <c r="A210" s="3"/>
      <c r="B210" s="1"/>
      <c r="C210" s="3"/>
      <c r="D210" s="3"/>
    </row>
    <row r="211" spans="1:4" ht="12.75">
      <c r="A211" s="3"/>
      <c r="B211" s="1"/>
      <c r="C211" s="3"/>
      <c r="D211" s="3"/>
    </row>
    <row r="212" spans="1:4" ht="12.75">
      <c r="A212" s="3"/>
      <c r="B212" s="1"/>
      <c r="C212" s="3"/>
      <c r="D212" s="3"/>
    </row>
    <row r="213" spans="1:4" ht="12.75">
      <c r="A213" s="3"/>
      <c r="B213" s="1"/>
      <c r="C213" s="3"/>
      <c r="D213" s="3"/>
    </row>
    <row r="214" spans="1:4" ht="12.75">
      <c r="A214" s="3"/>
      <c r="B214" s="1"/>
      <c r="C214" s="3"/>
      <c r="D214" s="3"/>
    </row>
    <row r="215" spans="1:4" ht="12.75">
      <c r="A215" s="3"/>
      <c r="B215" s="1"/>
      <c r="C215" s="3"/>
      <c r="D215" s="3"/>
    </row>
    <row r="216" spans="1:4" ht="12.75">
      <c r="A216" s="3"/>
      <c r="B216" s="1"/>
      <c r="C216" s="3"/>
      <c r="D216" s="3"/>
    </row>
    <row r="217" spans="1:4" ht="12.75">
      <c r="A217" s="3"/>
      <c r="B217" s="1"/>
      <c r="C217" s="3"/>
      <c r="D217" s="3"/>
    </row>
    <row r="218" spans="1:4" ht="12.75">
      <c r="A218" s="3"/>
      <c r="B218" s="1"/>
      <c r="C218" s="3"/>
      <c r="D218" s="3"/>
    </row>
    <row r="219" spans="1:4" ht="12.75">
      <c r="A219" s="3"/>
      <c r="B219" s="1"/>
      <c r="C219" s="3"/>
      <c r="D219" s="3"/>
    </row>
    <row r="220" spans="1:4" ht="12.75">
      <c r="A220" s="3"/>
      <c r="B220" s="1"/>
      <c r="C220" s="3"/>
      <c r="D220" s="3"/>
    </row>
    <row r="221" spans="1:4" ht="12.75">
      <c r="A221" s="3"/>
      <c r="B221" s="1"/>
      <c r="C221" s="3"/>
      <c r="D221" s="3"/>
    </row>
    <row r="222" spans="1:4" ht="12.75">
      <c r="A222" s="3"/>
      <c r="B222" s="1"/>
      <c r="C222" s="3"/>
      <c r="D222" s="3"/>
    </row>
    <row r="223" spans="1:4" ht="12.75">
      <c r="A223" s="3"/>
      <c r="B223" s="1"/>
      <c r="C223" s="3"/>
      <c r="D223" s="3"/>
    </row>
    <row r="224" spans="1:4" ht="12.75">
      <c r="A224" s="3"/>
      <c r="B224" s="1"/>
      <c r="C224" s="3"/>
      <c r="D224" s="3"/>
    </row>
  </sheetData>
  <sheetProtection/>
  <mergeCells count="15">
    <mergeCell ref="B48:C48"/>
    <mergeCell ref="A1:D1"/>
    <mergeCell ref="A42:C42"/>
    <mergeCell ref="A23:C23"/>
    <mergeCell ref="A24:C24"/>
    <mergeCell ref="B50:C50"/>
    <mergeCell ref="A2:D2"/>
    <mergeCell ref="A3:D3"/>
    <mergeCell ref="A4:B4"/>
    <mergeCell ref="A21:C21"/>
    <mergeCell ref="A43:C43"/>
    <mergeCell ref="B49:C49"/>
    <mergeCell ref="B45:C45"/>
    <mergeCell ref="B46:C46"/>
    <mergeCell ref="B47:C47"/>
  </mergeCells>
  <conditionalFormatting sqref="D25:D41 D5:D23">
    <cfRule type="expression" priority="1" dxfId="0" stopIfTrue="1">
      <formula>ISBLANK(D5)</formula>
    </cfRule>
  </conditionalFormatting>
  <printOptions/>
  <pageMargins left="0.75" right="0.75" top="1" bottom="1" header="0.5" footer="0.5"/>
  <pageSetup horizontalDpi="300" verticalDpi="300" orientation="portrait" paperSize="9" scale="48" r:id="rId1"/>
  <rowBreaks count="1" manualBreakCount="1">
    <brk id="5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6.421875" style="0" customWidth="1"/>
    <col min="2" max="2" width="79.140625" style="0" customWidth="1"/>
    <col min="3" max="3" width="10.57421875" style="0" customWidth="1"/>
    <col min="4" max="4" width="37.7109375" style="0" customWidth="1"/>
    <col min="7" max="7" width="14.421875" style="0" customWidth="1"/>
    <col min="11" max="11" width="13.421875" style="0" customWidth="1"/>
    <col min="12" max="12" width="11.7109375" style="0" customWidth="1"/>
  </cols>
  <sheetData>
    <row r="1" spans="1:4" ht="18">
      <c r="A1" s="105" t="s">
        <v>166</v>
      </c>
      <c r="B1" s="105"/>
      <c r="C1" s="105"/>
      <c r="D1" s="105"/>
    </row>
    <row r="2" spans="1:4" ht="26.25">
      <c r="A2" s="108" t="s">
        <v>5</v>
      </c>
      <c r="B2" s="108"/>
      <c r="C2" s="108"/>
      <c r="D2" s="108"/>
    </row>
    <row r="3" spans="1:4" ht="20.25">
      <c r="A3" s="109" t="s">
        <v>6</v>
      </c>
      <c r="B3" s="109"/>
      <c r="C3" s="109"/>
      <c r="D3" s="109"/>
    </row>
    <row r="4" spans="1:4" ht="29.25" customHeight="1">
      <c r="A4" s="93" t="s">
        <v>10</v>
      </c>
      <c r="B4" s="94"/>
      <c r="C4" s="95"/>
      <c r="D4" s="35" t="s">
        <v>94</v>
      </c>
    </row>
    <row r="5" spans="1:4" ht="34.5" customHeight="1">
      <c r="A5" s="9">
        <v>1</v>
      </c>
      <c r="B5" s="50" t="s">
        <v>18</v>
      </c>
      <c r="C5" s="7" t="s">
        <v>1</v>
      </c>
      <c r="D5" s="10">
        <f>+D6+D7+D8+D9+D13+D14+D15+D16</f>
        <v>857892.3106969014</v>
      </c>
    </row>
    <row r="6" spans="1:4" ht="40.5" customHeight="1">
      <c r="A6" s="37" t="s">
        <v>11</v>
      </c>
      <c r="B6" s="50" t="s">
        <v>16</v>
      </c>
      <c r="C6" s="7"/>
      <c r="D6" s="10">
        <f>'[2]2016 su media triennio'!$N$40</f>
        <v>657176.0043488425</v>
      </c>
    </row>
    <row r="7" spans="1:4" ht="32.25" customHeight="1">
      <c r="A7" s="38"/>
      <c r="B7" s="55" t="s">
        <v>12</v>
      </c>
      <c r="C7" s="7"/>
      <c r="D7" s="10">
        <f>'[2]2016 su media triennio'!$R$40</f>
        <v>189442.30634805886</v>
      </c>
    </row>
    <row r="8" spans="1:4" ht="29.25" customHeight="1">
      <c r="A8" s="38"/>
      <c r="B8" s="55" t="s">
        <v>13</v>
      </c>
      <c r="C8" s="7"/>
      <c r="D8" s="10">
        <f>'[2]2016 su media triennio'!$U$43</f>
        <v>10574</v>
      </c>
    </row>
    <row r="9" spans="1:7" ht="28.5" customHeight="1">
      <c r="A9" s="38"/>
      <c r="B9" s="55" t="s">
        <v>26</v>
      </c>
      <c r="C9" s="7"/>
      <c r="D9" s="10">
        <v>0</v>
      </c>
      <c r="G9" s="2"/>
    </row>
    <row r="10" spans="1:4" ht="25.5" customHeight="1">
      <c r="A10" s="38"/>
      <c r="B10" s="55" t="s">
        <v>41</v>
      </c>
      <c r="C10" s="7"/>
      <c r="D10" s="10">
        <v>0</v>
      </c>
    </row>
    <row r="11" spans="1:4" ht="29.25" customHeight="1">
      <c r="A11" s="38"/>
      <c r="B11" s="55" t="s">
        <v>14</v>
      </c>
      <c r="C11" s="7"/>
      <c r="D11" s="10">
        <v>0</v>
      </c>
    </row>
    <row r="12" spans="1:4" ht="36.75" customHeight="1">
      <c r="A12" s="38"/>
      <c r="B12" s="56" t="s">
        <v>15</v>
      </c>
      <c r="C12" s="7"/>
      <c r="D12" s="10">
        <v>0</v>
      </c>
    </row>
    <row r="13" spans="1:5" ht="49.5" customHeight="1">
      <c r="A13" s="38"/>
      <c r="B13" s="57" t="s">
        <v>48</v>
      </c>
      <c r="C13" s="7"/>
      <c r="D13" s="10">
        <v>700</v>
      </c>
      <c r="E13" s="99" t="s">
        <v>158</v>
      </c>
    </row>
    <row r="14" spans="1:4" ht="27" customHeight="1">
      <c r="A14" s="38"/>
      <c r="B14" s="56" t="s">
        <v>17</v>
      </c>
      <c r="C14" s="7"/>
      <c r="D14" s="10">
        <v>0</v>
      </c>
    </row>
    <row r="15" spans="1:4" ht="27" customHeight="1">
      <c r="A15" s="38"/>
      <c r="B15" s="56" t="s">
        <v>28</v>
      </c>
      <c r="C15" s="7"/>
      <c r="D15" s="10">
        <v>0</v>
      </c>
    </row>
    <row r="16" spans="1:4" ht="30" customHeight="1">
      <c r="A16" s="39"/>
      <c r="B16" s="56" t="s">
        <v>20</v>
      </c>
      <c r="C16" s="7"/>
      <c r="D16" s="10">
        <v>0</v>
      </c>
    </row>
    <row r="17" spans="1:5" ht="35.25" customHeight="1">
      <c r="A17" s="22">
        <v>2</v>
      </c>
      <c r="B17" s="57" t="s">
        <v>49</v>
      </c>
      <c r="C17" s="23" t="s">
        <v>1</v>
      </c>
      <c r="D17" s="10">
        <v>1000</v>
      </c>
      <c r="E17" s="92" t="s">
        <v>157</v>
      </c>
    </row>
    <row r="18" spans="1:4" ht="54.75" customHeight="1">
      <c r="A18" s="22">
        <v>3</v>
      </c>
      <c r="B18" s="56" t="s">
        <v>19</v>
      </c>
      <c r="C18" s="23" t="s">
        <v>1</v>
      </c>
      <c r="D18" s="10">
        <v>0</v>
      </c>
    </row>
    <row r="19" spans="1:4" ht="30.75" customHeight="1">
      <c r="A19" s="22">
        <v>4</v>
      </c>
      <c r="B19" s="58" t="s">
        <v>87</v>
      </c>
      <c r="C19" s="8" t="s">
        <v>1</v>
      </c>
      <c r="D19" s="10">
        <f>'[2]2016 su media triennio'!$U$44+'[2]2016 su media triennio'!$U$45+'[2]2016 su media triennio'!$U$46+'[2]2016 su media triennio'!$U$47+'[2]2016 su media triennio'!$U$50</f>
        <v>71502.8</v>
      </c>
    </row>
    <row r="20" spans="1:4" ht="20.25">
      <c r="A20" s="22">
        <v>5</v>
      </c>
      <c r="B20" s="75" t="s">
        <v>21</v>
      </c>
      <c r="C20" s="23" t="s">
        <v>1</v>
      </c>
      <c r="D20" s="73">
        <f>'[2]2016 su media triennio'!$T$40+'[2]2016 su media triennio'!$T$51</f>
        <v>56985.384177984946</v>
      </c>
    </row>
    <row r="21" spans="1:11" ht="38.25" customHeight="1">
      <c r="A21" s="121" t="s">
        <v>27</v>
      </c>
      <c r="B21" s="122"/>
      <c r="C21" s="123"/>
      <c r="D21" s="77">
        <f>SUM(D5+D17+D18+D19+D20)</f>
        <v>987380.4948748864</v>
      </c>
      <c r="G21" s="79">
        <f>+D21-'2015'!D23</f>
        <v>-40297.194394699065</v>
      </c>
      <c r="J21">
        <f>6000+2000+2+200+4000+1400+120+15500+5000+20+450</f>
        <v>34692</v>
      </c>
      <c r="K21" s="79">
        <f>+J21+G21</f>
        <v>-5605.194394699065</v>
      </c>
    </row>
    <row r="22" spans="1:4" ht="75.75" customHeight="1">
      <c r="A22" s="18">
        <v>6</v>
      </c>
      <c r="B22" s="25" t="s">
        <v>34</v>
      </c>
      <c r="C22" s="33" t="s">
        <v>1</v>
      </c>
      <c r="D22" s="12">
        <v>0</v>
      </c>
    </row>
    <row r="23" spans="1:4" ht="15.75">
      <c r="A23" s="107" t="s">
        <v>22</v>
      </c>
      <c r="B23" s="107"/>
      <c r="C23" s="107"/>
      <c r="D23" s="71">
        <f>D21+D22</f>
        <v>987380.4948748864</v>
      </c>
    </row>
    <row r="24" spans="1:4" ht="33" customHeight="1">
      <c r="A24" s="107" t="s">
        <v>23</v>
      </c>
      <c r="B24" s="107"/>
      <c r="C24" s="107"/>
      <c r="D24" s="35" t="s">
        <v>94</v>
      </c>
    </row>
    <row r="25" spans="1:4" ht="58.5" customHeight="1">
      <c r="A25" s="40">
        <v>7</v>
      </c>
      <c r="B25" s="50" t="s">
        <v>35</v>
      </c>
      <c r="C25" s="7" t="s">
        <v>0</v>
      </c>
      <c r="D25" s="12">
        <v>0</v>
      </c>
    </row>
    <row r="26" spans="1:4" ht="36.75" customHeight="1">
      <c r="A26" s="11">
        <v>8</v>
      </c>
      <c r="B26" s="51" t="s">
        <v>85</v>
      </c>
      <c r="C26" s="8" t="s">
        <v>0</v>
      </c>
      <c r="D26" s="12">
        <v>0</v>
      </c>
    </row>
    <row r="27" spans="1:5" ht="25.5" customHeight="1">
      <c r="A27" s="40">
        <v>9</v>
      </c>
      <c r="B27" s="51" t="s">
        <v>36</v>
      </c>
      <c r="C27" s="8" t="s">
        <v>0</v>
      </c>
      <c r="D27" s="12">
        <f>'[2]2016 su media triennio'!$N$56</f>
        <v>22289.131666666668</v>
      </c>
      <c r="E27" t="s">
        <v>146</v>
      </c>
    </row>
    <row r="28" spans="1:4" ht="26.25" customHeight="1">
      <c r="A28" s="11">
        <v>10</v>
      </c>
      <c r="B28" s="51" t="s">
        <v>2</v>
      </c>
      <c r="C28" s="8" t="s">
        <v>0</v>
      </c>
      <c r="D28" s="12">
        <f>1500+642.8+1350+1500+550+750</f>
        <v>6292.8</v>
      </c>
    </row>
    <row r="29" spans="1:4" ht="20.25">
      <c r="A29" s="40">
        <v>11</v>
      </c>
      <c r="B29" s="51" t="s">
        <v>3</v>
      </c>
      <c r="C29" s="8" t="s">
        <v>0</v>
      </c>
      <c r="D29" s="12">
        <f>200+2410+80+50+220+50+50+50+75+25</f>
        <v>3210</v>
      </c>
    </row>
    <row r="30" spans="1:4" ht="36" customHeight="1">
      <c r="A30" s="11">
        <v>12</v>
      </c>
      <c r="B30" s="51" t="s">
        <v>56</v>
      </c>
      <c r="C30" s="8" t="s">
        <v>0</v>
      </c>
      <c r="D30" s="67">
        <v>0</v>
      </c>
    </row>
    <row r="31" spans="1:5" ht="34.5" customHeight="1">
      <c r="A31" s="40">
        <v>13</v>
      </c>
      <c r="B31" s="51" t="s">
        <v>37</v>
      </c>
      <c r="C31" s="8" t="s">
        <v>0</v>
      </c>
      <c r="D31" s="12">
        <f>'[2]2016 su media triennio'!$N$60</f>
        <v>40000</v>
      </c>
      <c r="E31" t="s">
        <v>145</v>
      </c>
    </row>
    <row r="32" spans="1:5" ht="51" customHeight="1">
      <c r="A32" s="11">
        <v>14</v>
      </c>
      <c r="B32" s="51" t="s">
        <v>30</v>
      </c>
      <c r="C32" s="36" t="s">
        <v>0</v>
      </c>
      <c r="D32" s="12">
        <f>'[2]2016 su media triennio'!$N$63</f>
        <v>2000</v>
      </c>
      <c r="E32" t="s">
        <v>145</v>
      </c>
    </row>
    <row r="33" spans="1:4" ht="32.25" customHeight="1">
      <c r="A33" s="40">
        <v>15</v>
      </c>
      <c r="B33" s="51" t="s">
        <v>29</v>
      </c>
      <c r="C33" s="8" t="s">
        <v>0</v>
      </c>
      <c r="D33" s="12">
        <v>0</v>
      </c>
    </row>
    <row r="34" spans="1:4" ht="45.75" customHeight="1">
      <c r="A34" s="11">
        <v>16</v>
      </c>
      <c r="B34" s="51" t="s">
        <v>38</v>
      </c>
      <c r="C34" s="8" t="s">
        <v>0</v>
      </c>
      <c r="D34" s="12">
        <v>0</v>
      </c>
    </row>
    <row r="35" spans="1:4" ht="36.75" customHeight="1">
      <c r="A35" s="40">
        <v>17</v>
      </c>
      <c r="B35" s="52" t="s">
        <v>7</v>
      </c>
      <c r="C35" s="8" t="s">
        <v>0</v>
      </c>
      <c r="D35" s="12">
        <v>0</v>
      </c>
    </row>
    <row r="36" spans="1:5" ht="33.75" customHeight="1">
      <c r="A36" s="11">
        <v>18</v>
      </c>
      <c r="B36" s="53" t="s">
        <v>8</v>
      </c>
      <c r="C36" s="8" t="s">
        <v>0</v>
      </c>
      <c r="D36" s="12">
        <f>'[2]2016 su media triennio'!$N$64</f>
        <v>10000</v>
      </c>
      <c r="E36" t="s">
        <v>147</v>
      </c>
    </row>
    <row r="37" spans="1:5" ht="30.75" customHeight="1">
      <c r="A37" s="40">
        <v>19</v>
      </c>
      <c r="B37" s="53" t="s">
        <v>9</v>
      </c>
      <c r="C37" s="8" t="s">
        <v>0</v>
      </c>
      <c r="D37" s="12">
        <f>'[2]2016 su media triennio'!$N$6</f>
        <v>12884.837875000001</v>
      </c>
      <c r="E37" t="s">
        <v>148</v>
      </c>
    </row>
    <row r="38" spans="1:5" ht="32.25" customHeight="1">
      <c r="A38" s="40">
        <v>20</v>
      </c>
      <c r="B38" s="76" t="s">
        <v>40</v>
      </c>
      <c r="C38" s="8" t="s">
        <v>0</v>
      </c>
      <c r="D38" s="63">
        <f>'[2]2016 su media triennio'!$R$61+'[2]2016 su media triennio'!$R$56</f>
        <v>10197.702677683334</v>
      </c>
      <c r="E38" t="s">
        <v>97</v>
      </c>
    </row>
    <row r="39" spans="1:5" ht="50.25" customHeight="1">
      <c r="A39" s="40">
        <v>21</v>
      </c>
      <c r="B39" s="75" t="s">
        <v>39</v>
      </c>
      <c r="C39" s="8" t="s">
        <v>0</v>
      </c>
      <c r="D39" s="66">
        <f>'[2]2016 su media triennio'!$T$61+'[2]2016 su media triennio'!$U$62</f>
        <v>4095.211219375</v>
      </c>
      <c r="E39" t="s">
        <v>130</v>
      </c>
    </row>
    <row r="40" spans="1:4" ht="51.75" customHeight="1">
      <c r="A40" s="45">
        <v>22</v>
      </c>
      <c r="B40" s="54" t="s">
        <v>33</v>
      </c>
      <c r="C40" s="4" t="s">
        <v>0</v>
      </c>
      <c r="D40" s="13">
        <v>0</v>
      </c>
    </row>
    <row r="41" spans="1:4" ht="88.5" customHeight="1">
      <c r="A41" s="46">
        <v>23</v>
      </c>
      <c r="B41" s="49" t="s">
        <v>45</v>
      </c>
      <c r="C41" s="47" t="s">
        <v>0</v>
      </c>
      <c r="D41" s="48">
        <v>0</v>
      </c>
    </row>
    <row r="42" spans="1:4" ht="15.75">
      <c r="A42" s="107" t="s">
        <v>24</v>
      </c>
      <c r="B42" s="107"/>
      <c r="C42" s="107"/>
      <c r="D42" s="78">
        <f>SUM(D25:D41)</f>
        <v>110969.68343872501</v>
      </c>
    </row>
    <row r="43" spans="1:4" ht="15.75">
      <c r="A43" s="107" t="s">
        <v>25</v>
      </c>
      <c r="B43" s="107"/>
      <c r="C43" s="107"/>
      <c r="D43" s="78">
        <f>D23-D42</f>
        <v>876410.8114361614</v>
      </c>
    </row>
    <row r="44" spans="1:4" ht="15.75">
      <c r="A44" s="29"/>
      <c r="B44" s="29"/>
      <c r="C44" s="29"/>
      <c r="D44" s="30"/>
    </row>
    <row r="45" spans="1:4" ht="15.75">
      <c r="A45" s="29"/>
      <c r="B45" s="117" t="s">
        <v>44</v>
      </c>
      <c r="C45" s="117"/>
      <c r="D45" s="44">
        <f>('2011'!D42+'2012'!D42+'2013'!D42)/3</f>
        <v>919490.702065</v>
      </c>
    </row>
    <row r="46" spans="1:4" ht="12.75">
      <c r="A46" s="5"/>
      <c r="B46" s="115"/>
      <c r="C46" s="115"/>
      <c r="D46" s="5"/>
    </row>
    <row r="47" spans="1:7" ht="15">
      <c r="A47" s="5"/>
      <c r="B47" s="124" t="s">
        <v>47</v>
      </c>
      <c r="C47" s="125"/>
      <c r="D47" s="6" t="str">
        <f>IF(D43&lt;D45,"SI","NO")</f>
        <v>SI</v>
      </c>
      <c r="G47" s="79">
        <f>+D43-D45</f>
        <v>-43079.89062883856</v>
      </c>
    </row>
    <row r="48" spans="1:4" ht="12.75">
      <c r="A48" s="5"/>
      <c r="B48" s="115"/>
      <c r="C48" s="115"/>
      <c r="D48" s="5"/>
    </row>
    <row r="49" spans="1:4" ht="15">
      <c r="A49" s="5"/>
      <c r="B49" s="116" t="s">
        <v>95</v>
      </c>
      <c r="C49" s="116"/>
      <c r="D49" s="74">
        <f>IF(D43&lt;D45,D45-D43-1,0)</f>
        <v>43078.89062883856</v>
      </c>
    </row>
    <row r="54" spans="1:2" ht="12.75">
      <c r="A54" s="91"/>
      <c r="B54" s="91"/>
    </row>
    <row r="55" spans="1:2" ht="12.75">
      <c r="A55" s="83" t="s">
        <v>118</v>
      </c>
      <c r="B55" s="91"/>
    </row>
    <row r="56" spans="1:2" ht="12.75">
      <c r="A56" s="84" t="s">
        <v>119</v>
      </c>
      <c r="B56" s="91"/>
    </row>
    <row r="57" spans="1:2" ht="12.75">
      <c r="A57" s="84" t="s">
        <v>120</v>
      </c>
      <c r="B57" s="91"/>
    </row>
    <row r="58" spans="1:2" ht="12.75">
      <c r="A58" s="89" t="s">
        <v>121</v>
      </c>
      <c r="B58" s="91"/>
    </row>
    <row r="59" spans="1:2" ht="12.75">
      <c r="A59" s="89" t="s">
        <v>123</v>
      </c>
      <c r="B59" s="90">
        <v>1000</v>
      </c>
    </row>
  </sheetData>
  <sheetProtection/>
  <mergeCells count="13">
    <mergeCell ref="A42:C42"/>
    <mergeCell ref="A23:C23"/>
    <mergeCell ref="A24:C24"/>
    <mergeCell ref="A43:C43"/>
    <mergeCell ref="B49:C49"/>
    <mergeCell ref="B45:C45"/>
    <mergeCell ref="B46:C46"/>
    <mergeCell ref="B47:C47"/>
    <mergeCell ref="B48:C48"/>
    <mergeCell ref="A2:D2"/>
    <mergeCell ref="A3:D3"/>
    <mergeCell ref="A21:C21"/>
    <mergeCell ref="A1:D1"/>
  </mergeCells>
  <conditionalFormatting sqref="D5:D23 D25:D41">
    <cfRule type="expression" priority="4" dxfId="0" stopIfTrue="1">
      <formula>ISBLANK(D5)</formula>
    </cfRule>
  </conditionalFormatting>
  <conditionalFormatting sqref="D29">
    <cfRule type="expression" priority="3" dxfId="0" stopIfTrue="1">
      <formula>ISBLANK(D29)</formula>
    </cfRule>
  </conditionalFormatting>
  <conditionalFormatting sqref="D28">
    <cfRule type="expression" priority="2" dxfId="0" stopIfTrue="1">
      <formula>ISBLANK(D28)</formula>
    </cfRule>
  </conditionalFormatting>
  <conditionalFormatting sqref="D29">
    <cfRule type="expression" priority="1" dxfId="0" stopIfTrue="1">
      <formula>ISBLANK(D29)</formula>
    </cfRule>
  </conditionalFormatting>
  <printOptions/>
  <pageMargins left="0.75" right="0.17" top="0.51" bottom="0.46" header="0.5" footer="0.5"/>
  <pageSetup horizontalDpi="300" verticalDpi="3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85" zoomScaleSheetLayoutView="85" zoomScalePageLayoutView="0" workbookViewId="0" topLeftCell="A1">
      <selection activeCell="J4" sqref="J4"/>
    </sheetView>
  </sheetViews>
  <sheetFormatPr defaultColWidth="9.140625" defaultRowHeight="12.75"/>
  <cols>
    <col min="1" max="1" width="6.421875" style="0" customWidth="1"/>
    <col min="2" max="2" width="79.140625" style="0" customWidth="1"/>
    <col min="3" max="3" width="10.57421875" style="0" customWidth="1"/>
    <col min="4" max="4" width="37.7109375" style="0" customWidth="1"/>
    <col min="7" max="7" width="14.421875" style="0" customWidth="1"/>
    <col min="11" max="11" width="13.421875" style="0" customWidth="1"/>
    <col min="12" max="12" width="11.7109375" style="0" customWidth="1"/>
  </cols>
  <sheetData>
    <row r="1" spans="1:4" ht="18">
      <c r="A1" s="105" t="s">
        <v>166</v>
      </c>
      <c r="B1" s="105"/>
      <c r="C1" s="105"/>
      <c r="D1" s="105"/>
    </row>
    <row r="2" spans="1:4" ht="26.25">
      <c r="A2" s="108" t="s">
        <v>5</v>
      </c>
      <c r="B2" s="108"/>
      <c r="C2" s="108"/>
      <c r="D2" s="108"/>
    </row>
    <row r="3" spans="1:4" ht="20.25">
      <c r="A3" s="109" t="s">
        <v>6</v>
      </c>
      <c r="B3" s="109"/>
      <c r="C3" s="109"/>
      <c r="D3" s="109"/>
    </row>
    <row r="4" spans="1:4" ht="29.25" customHeight="1">
      <c r="A4" s="93" t="s">
        <v>10</v>
      </c>
      <c r="B4" s="94"/>
      <c r="C4" s="95"/>
      <c r="D4" s="35" t="s">
        <v>149</v>
      </c>
    </row>
    <row r="5" spans="1:4" ht="34.5" customHeight="1">
      <c r="A5" s="9">
        <v>1</v>
      </c>
      <c r="B5" s="50" t="s">
        <v>18</v>
      </c>
      <c r="C5" s="7" t="s">
        <v>1</v>
      </c>
      <c r="D5" s="10">
        <f>+D6+D7+D8+D9+D13+D14+D15+D16</f>
        <v>857892.3106969014</v>
      </c>
    </row>
    <row r="6" spans="1:5" ht="40.5" customHeight="1">
      <c r="A6" s="37" t="s">
        <v>11</v>
      </c>
      <c r="B6" s="50" t="s">
        <v>16</v>
      </c>
      <c r="C6" s="7"/>
      <c r="D6" s="10">
        <f>'[2]2017 su media triennio da ver'!$N$40</f>
        <v>657176.0043488425</v>
      </c>
      <c r="E6" t="s">
        <v>131</v>
      </c>
    </row>
    <row r="7" spans="1:5" ht="32.25" customHeight="1">
      <c r="A7" s="38"/>
      <c r="B7" s="55" t="s">
        <v>12</v>
      </c>
      <c r="C7" s="7"/>
      <c r="D7" s="10">
        <f>'[2]2017 su media triennio da ver'!$R$40</f>
        <v>189442.30634805886</v>
      </c>
      <c r="E7" t="s">
        <v>132</v>
      </c>
    </row>
    <row r="8" spans="1:4" ht="29.25" customHeight="1">
      <c r="A8" s="38"/>
      <c r="B8" s="55" t="s">
        <v>13</v>
      </c>
      <c r="C8" s="7"/>
      <c r="D8" s="10">
        <f>'[2]2017 su media triennio da ver'!$U$43</f>
        <v>10574</v>
      </c>
    </row>
    <row r="9" spans="1:7" ht="28.5" customHeight="1">
      <c r="A9" s="38"/>
      <c r="B9" s="55" t="s">
        <v>26</v>
      </c>
      <c r="C9" s="7"/>
      <c r="D9" s="10">
        <v>0</v>
      </c>
      <c r="G9" s="2"/>
    </row>
    <row r="10" spans="1:4" ht="25.5" customHeight="1">
      <c r="A10" s="38"/>
      <c r="B10" s="55" t="s">
        <v>41</v>
      </c>
      <c r="C10" s="7"/>
      <c r="D10" s="10">
        <v>0</v>
      </c>
    </row>
    <row r="11" spans="1:4" ht="29.25" customHeight="1">
      <c r="A11" s="38"/>
      <c r="B11" s="55" t="s">
        <v>14</v>
      </c>
      <c r="C11" s="7"/>
      <c r="D11" s="10">
        <v>0</v>
      </c>
    </row>
    <row r="12" spans="1:4" ht="36.75" customHeight="1">
      <c r="A12" s="38"/>
      <c r="B12" s="56" t="s">
        <v>15</v>
      </c>
      <c r="C12" s="7"/>
      <c r="D12" s="10">
        <v>0</v>
      </c>
    </row>
    <row r="13" spans="1:5" ht="49.5" customHeight="1">
      <c r="A13" s="38"/>
      <c r="B13" s="57" t="s">
        <v>48</v>
      </c>
      <c r="C13" s="7"/>
      <c r="D13" s="10">
        <v>700</v>
      </c>
      <c r="E13" s="99" t="s">
        <v>158</v>
      </c>
    </row>
    <row r="14" spans="1:4" ht="27" customHeight="1">
      <c r="A14" s="38"/>
      <c r="B14" s="56" t="s">
        <v>17</v>
      </c>
      <c r="C14" s="7"/>
      <c r="D14" s="10">
        <v>0</v>
      </c>
    </row>
    <row r="15" spans="1:4" ht="27" customHeight="1">
      <c r="A15" s="38"/>
      <c r="B15" s="56" t="s">
        <v>28</v>
      </c>
      <c r="C15" s="7"/>
      <c r="D15" s="10">
        <v>0</v>
      </c>
    </row>
    <row r="16" spans="1:4" ht="30" customHeight="1">
      <c r="A16" s="39"/>
      <c r="B16" s="56" t="s">
        <v>20</v>
      </c>
      <c r="C16" s="7"/>
      <c r="D16" s="10">
        <v>0</v>
      </c>
    </row>
    <row r="17" spans="1:5" ht="35.25" customHeight="1">
      <c r="A17" s="22">
        <v>2</v>
      </c>
      <c r="B17" s="57" t="s">
        <v>49</v>
      </c>
      <c r="C17" s="23" t="s">
        <v>1</v>
      </c>
      <c r="D17" s="10">
        <v>1000</v>
      </c>
      <c r="E17" s="92" t="s">
        <v>157</v>
      </c>
    </row>
    <row r="18" spans="1:4" ht="54.75" customHeight="1">
      <c r="A18" s="22">
        <v>3</v>
      </c>
      <c r="B18" s="56" t="s">
        <v>19</v>
      </c>
      <c r="C18" s="23" t="s">
        <v>1</v>
      </c>
      <c r="D18" s="10">
        <v>0</v>
      </c>
    </row>
    <row r="19" spans="1:4" ht="30.75" customHeight="1">
      <c r="A19" s="22">
        <v>4</v>
      </c>
      <c r="B19" s="58" t="s">
        <v>87</v>
      </c>
      <c r="C19" s="8" t="s">
        <v>1</v>
      </c>
      <c r="D19" s="10">
        <f>'[2]2017 su media triennio da ver'!$U$44+'[2]2017 su media triennio da ver'!$U$45+'[2]2017 su media triennio da ver'!$U$46+'[2]2017 su media triennio da ver'!$U$47+'[2]2017 su media triennio da ver'!$U$50</f>
        <v>71502.8</v>
      </c>
    </row>
    <row r="20" spans="1:4" ht="20.25">
      <c r="A20" s="22">
        <v>5</v>
      </c>
      <c r="B20" s="75" t="s">
        <v>21</v>
      </c>
      <c r="C20" s="23" t="s">
        <v>1</v>
      </c>
      <c r="D20" s="73">
        <f>'[2]2017 su media triennio da ver'!$T$40+'[2]2017 su media triennio da ver'!$T$51</f>
        <v>56985.384177984946</v>
      </c>
    </row>
    <row r="21" spans="1:11" ht="38.25" customHeight="1">
      <c r="A21" s="121" t="s">
        <v>27</v>
      </c>
      <c r="B21" s="122"/>
      <c r="C21" s="123"/>
      <c r="D21" s="77">
        <f>SUM(D5+D17+D18+D19+D20)</f>
        <v>987380.4948748864</v>
      </c>
      <c r="G21" s="79">
        <f>+D21-'2015'!D23</f>
        <v>-40297.194394699065</v>
      </c>
      <c r="J21">
        <f>6000+2000+2+200+4000+1400+120+15500+5000+20+450</f>
        <v>34692</v>
      </c>
      <c r="K21" s="79">
        <f>+J21+G21</f>
        <v>-5605.194394699065</v>
      </c>
    </row>
    <row r="22" spans="1:4" ht="75.75" customHeight="1">
      <c r="A22" s="18">
        <v>6</v>
      </c>
      <c r="B22" s="25" t="s">
        <v>34</v>
      </c>
      <c r="C22" s="33" t="s">
        <v>1</v>
      </c>
      <c r="D22" s="12">
        <v>0</v>
      </c>
    </row>
    <row r="23" spans="1:4" ht="15.75">
      <c r="A23" s="107" t="s">
        <v>22</v>
      </c>
      <c r="B23" s="107"/>
      <c r="C23" s="107"/>
      <c r="D23" s="71">
        <f>D21+D22</f>
        <v>987380.4948748864</v>
      </c>
    </row>
    <row r="24" spans="1:4" ht="33" customHeight="1">
      <c r="A24" s="107" t="s">
        <v>23</v>
      </c>
      <c r="B24" s="107"/>
      <c r="C24" s="107"/>
      <c r="D24" s="35" t="s">
        <v>149</v>
      </c>
    </row>
    <row r="25" spans="1:4" ht="58.5" customHeight="1">
      <c r="A25" s="40">
        <v>7</v>
      </c>
      <c r="B25" s="50" t="s">
        <v>35</v>
      </c>
      <c r="C25" s="7" t="s">
        <v>0</v>
      </c>
      <c r="D25" s="12">
        <v>0</v>
      </c>
    </row>
    <row r="26" spans="1:4" ht="36.75" customHeight="1">
      <c r="A26" s="11">
        <v>8</v>
      </c>
      <c r="B26" s="51" t="s">
        <v>85</v>
      </c>
      <c r="C26" s="8" t="s">
        <v>0</v>
      </c>
      <c r="D26" s="12">
        <v>0</v>
      </c>
    </row>
    <row r="27" spans="1:5" ht="25.5" customHeight="1">
      <c r="A27" s="40">
        <v>9</v>
      </c>
      <c r="B27" s="51" t="s">
        <v>36</v>
      </c>
      <c r="C27" s="8" t="s">
        <v>0</v>
      </c>
      <c r="D27" s="12">
        <f>'[2]2017 su media triennio da ver'!$N$56</f>
        <v>22289.131666666668</v>
      </c>
      <c r="E27" t="s">
        <v>146</v>
      </c>
    </row>
    <row r="28" spans="1:4" ht="26.25" customHeight="1">
      <c r="A28" s="11">
        <v>10</v>
      </c>
      <c r="B28" s="51" t="s">
        <v>2</v>
      </c>
      <c r="C28" s="8" t="s">
        <v>0</v>
      </c>
      <c r="D28" s="12">
        <f>1500+642.8+1350+1500+550+750</f>
        <v>6292.8</v>
      </c>
    </row>
    <row r="29" spans="1:4" ht="20.25">
      <c r="A29" s="40">
        <v>11</v>
      </c>
      <c r="B29" s="51" t="s">
        <v>3</v>
      </c>
      <c r="C29" s="8" t="s">
        <v>0</v>
      </c>
      <c r="D29" s="12">
        <f>200+2410+80+50+220+50+50+50+75+25</f>
        <v>3210</v>
      </c>
    </row>
    <row r="30" spans="1:4" ht="36" customHeight="1">
      <c r="A30" s="11">
        <v>12</v>
      </c>
      <c r="B30" s="51" t="s">
        <v>56</v>
      </c>
      <c r="C30" s="8" t="s">
        <v>0</v>
      </c>
      <c r="D30" s="67">
        <v>0</v>
      </c>
    </row>
    <row r="31" spans="1:5" ht="34.5" customHeight="1">
      <c r="A31" s="40">
        <v>13</v>
      </c>
      <c r="B31" s="51" t="s">
        <v>37</v>
      </c>
      <c r="C31" s="8" t="s">
        <v>0</v>
      </c>
      <c r="D31" s="12">
        <f>'[2]2017 su media triennio da ver'!$U$60</f>
        <v>40000</v>
      </c>
      <c r="E31" t="s">
        <v>145</v>
      </c>
    </row>
    <row r="32" spans="1:5" ht="51" customHeight="1">
      <c r="A32" s="11">
        <v>14</v>
      </c>
      <c r="B32" s="51" t="s">
        <v>30</v>
      </c>
      <c r="C32" s="36" t="s">
        <v>0</v>
      </c>
      <c r="D32" s="12">
        <f>'[2]2017 su media triennio da ver'!$U$63</f>
        <v>2000</v>
      </c>
      <c r="E32" t="s">
        <v>145</v>
      </c>
    </row>
    <row r="33" spans="1:4" ht="32.25" customHeight="1">
      <c r="A33" s="40">
        <v>15</v>
      </c>
      <c r="B33" s="51" t="s">
        <v>29</v>
      </c>
      <c r="C33" s="8" t="s">
        <v>0</v>
      </c>
      <c r="D33" s="12">
        <v>0</v>
      </c>
    </row>
    <row r="34" spans="1:4" ht="45.75" customHeight="1">
      <c r="A34" s="11">
        <v>16</v>
      </c>
      <c r="B34" s="51" t="s">
        <v>38</v>
      </c>
      <c r="C34" s="8" t="s">
        <v>0</v>
      </c>
      <c r="D34" s="12">
        <v>0</v>
      </c>
    </row>
    <row r="35" spans="1:4" ht="36.75" customHeight="1">
      <c r="A35" s="40">
        <v>17</v>
      </c>
      <c r="B35" s="52" t="s">
        <v>7</v>
      </c>
      <c r="C35" s="8" t="s">
        <v>0</v>
      </c>
      <c r="D35" s="12">
        <v>0</v>
      </c>
    </row>
    <row r="36" spans="1:5" ht="33.75" customHeight="1">
      <c r="A36" s="11">
        <v>18</v>
      </c>
      <c r="B36" s="53" t="s">
        <v>8</v>
      </c>
      <c r="C36" s="8" t="s">
        <v>0</v>
      </c>
      <c r="D36" s="12">
        <f>'[2]2017 su media triennio da ver'!$U$64</f>
        <v>10000</v>
      </c>
      <c r="E36" t="s">
        <v>147</v>
      </c>
    </row>
    <row r="37" spans="1:5" ht="30.75" customHeight="1">
      <c r="A37" s="40">
        <v>19</v>
      </c>
      <c r="B37" s="53" t="s">
        <v>9</v>
      </c>
      <c r="C37" s="8" t="s">
        <v>0</v>
      </c>
      <c r="D37" s="12">
        <f>'[2]2017 su media triennio da ver'!$N$61</f>
        <v>12884.837875000001</v>
      </c>
      <c r="E37" t="s">
        <v>148</v>
      </c>
    </row>
    <row r="38" spans="1:5" ht="32.25" customHeight="1">
      <c r="A38" s="40">
        <v>20</v>
      </c>
      <c r="B38" s="76" t="s">
        <v>40</v>
      </c>
      <c r="C38" s="8" t="s">
        <v>0</v>
      </c>
      <c r="D38" s="63">
        <f>'[2]2017 su media triennio da ver'!$R$61+'[2]2017 su media triennio da ver'!$R$56</f>
        <v>10197.702677683334</v>
      </c>
      <c r="E38" t="s">
        <v>97</v>
      </c>
    </row>
    <row r="39" spans="1:5" ht="50.25" customHeight="1">
      <c r="A39" s="40">
        <v>21</v>
      </c>
      <c r="B39" s="75" t="s">
        <v>39</v>
      </c>
      <c r="C39" s="8" t="s">
        <v>0</v>
      </c>
      <c r="D39" s="66">
        <f>'[2]2017 su media triennio da ver'!$T$61+'[2]2017 su media triennio da ver'!$U$62</f>
        <v>4095.211219375</v>
      </c>
      <c r="E39" t="s">
        <v>130</v>
      </c>
    </row>
    <row r="40" spans="1:4" ht="51.75" customHeight="1">
      <c r="A40" s="45">
        <v>22</v>
      </c>
      <c r="B40" s="54" t="s">
        <v>33</v>
      </c>
      <c r="C40" s="4" t="s">
        <v>0</v>
      </c>
      <c r="D40" s="13">
        <v>0</v>
      </c>
    </row>
    <row r="41" spans="1:4" ht="88.5" customHeight="1">
      <c r="A41" s="46">
        <v>23</v>
      </c>
      <c r="B41" s="49" t="s">
        <v>45</v>
      </c>
      <c r="C41" s="47" t="s">
        <v>0</v>
      </c>
      <c r="D41" s="48">
        <v>0</v>
      </c>
    </row>
    <row r="42" spans="1:4" ht="15.75">
      <c r="A42" s="107" t="s">
        <v>24</v>
      </c>
      <c r="B42" s="107"/>
      <c r="C42" s="107"/>
      <c r="D42" s="78">
        <f>SUM(D25:D41)</f>
        <v>110969.68343872501</v>
      </c>
    </row>
    <row r="43" spans="1:4" ht="15.75">
      <c r="A43" s="107" t="s">
        <v>25</v>
      </c>
      <c r="B43" s="107"/>
      <c r="C43" s="107"/>
      <c r="D43" s="78">
        <f>D23-D42</f>
        <v>876410.8114361614</v>
      </c>
    </row>
    <row r="44" spans="1:4" ht="15.75">
      <c r="A44" s="29"/>
      <c r="B44" s="29"/>
      <c r="C44" s="29"/>
      <c r="D44" s="30"/>
    </row>
    <row r="45" spans="1:4" ht="15.75">
      <c r="A45" s="29"/>
      <c r="B45" s="117" t="s">
        <v>44</v>
      </c>
      <c r="C45" s="117"/>
      <c r="D45" s="44">
        <f>('2011'!D42+'2012'!D42+'2013'!D42)/3</f>
        <v>919490.702065</v>
      </c>
    </row>
    <row r="46" spans="1:4" ht="12.75">
      <c r="A46" s="5"/>
      <c r="B46" s="115"/>
      <c r="C46" s="115"/>
      <c r="D46" s="5"/>
    </row>
    <row r="47" spans="1:7" ht="15">
      <c r="A47" s="5"/>
      <c r="B47" s="124" t="s">
        <v>47</v>
      </c>
      <c r="C47" s="125"/>
      <c r="D47" s="6" t="str">
        <f>IF(D43&lt;D45,"SI","NO")</f>
        <v>SI</v>
      </c>
      <c r="G47" s="79">
        <f>+D43-D45</f>
        <v>-43079.89062883856</v>
      </c>
    </row>
    <row r="48" spans="1:4" ht="12.75">
      <c r="A48" s="5"/>
      <c r="B48" s="115"/>
      <c r="C48" s="115"/>
      <c r="D48" s="5"/>
    </row>
    <row r="49" spans="1:4" ht="15">
      <c r="A49" s="5"/>
      <c r="B49" s="116" t="s">
        <v>150</v>
      </c>
      <c r="C49" s="116"/>
      <c r="D49" s="74">
        <f>IF(D43&lt;D45,D45-D43-1,0)</f>
        <v>43078.89062883856</v>
      </c>
    </row>
    <row r="54" spans="1:2" ht="12.75">
      <c r="A54" s="91"/>
      <c r="B54" s="91"/>
    </row>
    <row r="55" spans="1:2" ht="12.75">
      <c r="A55" s="83" t="s">
        <v>118</v>
      </c>
      <c r="B55" s="91"/>
    </row>
    <row r="56" spans="1:2" ht="12.75">
      <c r="A56" s="84" t="s">
        <v>151</v>
      </c>
      <c r="B56" s="91"/>
    </row>
    <row r="57" spans="1:2" ht="12.75">
      <c r="A57" s="84" t="s">
        <v>120</v>
      </c>
      <c r="B57" s="91"/>
    </row>
    <row r="58" spans="1:2" ht="12.75">
      <c r="A58" s="89" t="s">
        <v>121</v>
      </c>
      <c r="B58" s="91"/>
    </row>
    <row r="59" spans="1:2" ht="12.75">
      <c r="A59" s="89" t="s">
        <v>152</v>
      </c>
      <c r="B59" s="90"/>
    </row>
  </sheetData>
  <sheetProtection/>
  <mergeCells count="13">
    <mergeCell ref="A23:C23"/>
    <mergeCell ref="A24:C24"/>
    <mergeCell ref="A1:D1"/>
    <mergeCell ref="A2:D2"/>
    <mergeCell ref="A3:D3"/>
    <mergeCell ref="A21:C21"/>
    <mergeCell ref="B49:C49"/>
    <mergeCell ref="A42:C42"/>
    <mergeCell ref="A43:C43"/>
    <mergeCell ref="B45:C45"/>
    <mergeCell ref="B46:C46"/>
    <mergeCell ref="B47:C47"/>
    <mergeCell ref="B48:C48"/>
  </mergeCells>
  <conditionalFormatting sqref="D5:D23 D25:D41">
    <cfRule type="expression" priority="6" dxfId="0" stopIfTrue="1">
      <formula>ISBLANK(D5)</formula>
    </cfRule>
  </conditionalFormatting>
  <conditionalFormatting sqref="D28">
    <cfRule type="expression" priority="5" dxfId="0" stopIfTrue="1">
      <formula>ISBLANK(D28)</formula>
    </cfRule>
  </conditionalFormatting>
  <conditionalFormatting sqref="D28">
    <cfRule type="expression" priority="4" dxfId="0" stopIfTrue="1">
      <formula>ISBLANK(D28)</formula>
    </cfRule>
  </conditionalFormatting>
  <conditionalFormatting sqref="D29">
    <cfRule type="expression" priority="3" dxfId="0" stopIfTrue="1">
      <formula>ISBLANK(D29)</formula>
    </cfRule>
  </conditionalFormatting>
  <conditionalFormatting sqref="D29">
    <cfRule type="expression" priority="2" dxfId="0" stopIfTrue="1">
      <formula>ISBLANK(D29)</formula>
    </cfRule>
  </conditionalFormatting>
  <conditionalFormatting sqref="D29">
    <cfRule type="expression" priority="1" dxfId="0" stopIfTrue="1">
      <formula>ISBLANK(D29)</formula>
    </cfRule>
  </conditionalFormatting>
  <printOptions/>
  <pageMargins left="0.75" right="0.17" top="0.51" bottom="0.46" header="0.5" footer="0.5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Soluzione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Prodotto protetto dalla disciplina sui diritti d'autore; non divulgabile senza espressa autorizzazione di Soluzione srl</dc:description>
  <cp:lastModifiedBy>silviaspiga</cp:lastModifiedBy>
  <cp:lastPrinted>2015-04-22T15:50:01Z</cp:lastPrinted>
  <dcterms:created xsi:type="dcterms:W3CDTF">2006-02-15T17:28:45Z</dcterms:created>
  <dcterms:modified xsi:type="dcterms:W3CDTF">2015-04-22T15:50:12Z</dcterms:modified>
  <cp:category/>
  <cp:version/>
  <cp:contentType/>
  <cp:contentStatus/>
</cp:coreProperties>
</file>